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250" windowHeight="11430" activeTab="0"/>
  </bookViews>
  <sheets>
    <sheet name="2014" sheetId="1" r:id="rId1"/>
    <sheet name="2015" sheetId="2" r:id="rId2"/>
    <sheet name="2016" sheetId="3" r:id="rId3"/>
    <sheet name="НПn2014" sheetId="4" r:id="rId4"/>
    <sheet name="НПn2015" sheetId="5" r:id="rId5"/>
    <sheet name="НПn2016" sheetId="6" r:id="rId6"/>
    <sheet name="ПНД" sheetId="7" r:id="rId7"/>
    <sheet name="q1q2" sheetId="8" r:id="rId8"/>
    <sheet name="а1 а2 а3" sheetId="9" r:id="rId9"/>
    <sheet name="2014 (2)" sheetId="10" r:id="rId10"/>
  </sheets>
  <definedNames>
    <definedName name="_xlnm.Print_Area" localSheetId="0">'2014'!$A$1:$AJ$19</definedName>
    <definedName name="_xlnm.Print_Area" localSheetId="9">'2014 (2)'!$A$1:$AM$19</definedName>
  </definedNames>
  <calcPr fullCalcOnLoad="1"/>
</workbook>
</file>

<file path=xl/sharedStrings.xml><?xml version="1.0" encoding="utf-8"?>
<sst xmlns="http://schemas.openxmlformats.org/spreadsheetml/2006/main" count="424" uniqueCount="181">
  <si>
    <t>Сельские поселения</t>
  </si>
  <si>
    <t>Горноправдинск</t>
  </si>
  <si>
    <t>Селиярово</t>
  </si>
  <si>
    <t>Шапша</t>
  </si>
  <si>
    <t>Цингалы</t>
  </si>
  <si>
    <t>Нялино</t>
  </si>
  <si>
    <t>Сибирский</t>
  </si>
  <si>
    <t>Луговое</t>
  </si>
  <si>
    <t>Красноленинский</t>
  </si>
  <si>
    <t>Выкатное</t>
  </si>
  <si>
    <t>Кедровый</t>
  </si>
  <si>
    <t>Кышик</t>
  </si>
  <si>
    <t>Согом</t>
  </si>
  <si>
    <t>ИТОГО по району</t>
  </si>
  <si>
    <t>НПn</t>
  </si>
  <si>
    <t>Луговской</t>
  </si>
  <si>
    <r>
      <t xml:space="preserve">Численность населения, проживающего в населенных пунктах с числ.населения не более 500 чел.      </t>
    </r>
    <r>
      <rPr>
        <b/>
        <sz val="10"/>
        <rFont val="Times New Roman"/>
        <family val="1"/>
      </rPr>
      <t>Hn500 (H500</t>
    </r>
    <r>
      <rPr>
        <sz val="10"/>
        <rFont val="Times New Roman"/>
        <family val="1"/>
      </rPr>
      <t>)</t>
    </r>
  </si>
  <si>
    <r>
      <t xml:space="preserve">Коэф-т дисперсности </t>
    </r>
    <r>
      <rPr>
        <b/>
        <sz val="10"/>
        <rFont val="Times New Roman"/>
        <family val="1"/>
      </rPr>
      <t>Kn дисп</t>
    </r>
  </si>
  <si>
    <r>
      <t xml:space="preserve">Коэффициент дифференциации расходов на содержание жилого фонда в поселении      </t>
    </r>
    <r>
      <rPr>
        <b/>
        <sz val="10"/>
        <rFont val="Times New Roman"/>
        <family val="1"/>
      </rPr>
      <t>Kn жф</t>
    </r>
  </si>
  <si>
    <r>
      <t xml:space="preserve">Средняя  численность  постоянного  населения  поселений, входящих  в состав территории муниципального района     </t>
    </r>
    <r>
      <rPr>
        <b/>
        <sz val="10"/>
        <rFont val="Times New Roman"/>
        <family val="1"/>
      </rPr>
      <t>Нср</t>
    </r>
  </si>
  <si>
    <r>
      <t xml:space="preserve">Весовой коэффициент, устанавливае-мый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</si>
  <si>
    <r>
      <t xml:space="preserve">Коэф-т масштаба поселения      </t>
    </r>
    <r>
      <rPr>
        <b/>
        <sz val="10"/>
        <rFont val="Times New Roman"/>
        <family val="1"/>
      </rPr>
      <t>Кnм</t>
    </r>
  </si>
  <si>
    <r>
      <t xml:space="preserve">Доля расходов  на муниципальное управление и организацию оказания услуг в области культуры           </t>
    </r>
    <r>
      <rPr>
        <b/>
        <sz val="10"/>
        <rFont val="Times New Roman"/>
        <family val="1"/>
      </rPr>
      <t>a1</t>
    </r>
  </si>
  <si>
    <r>
      <t xml:space="preserve">Доля расходов на содержание муниципального жилого фонда   </t>
    </r>
    <r>
      <rPr>
        <b/>
        <sz val="10"/>
        <rFont val="Times New Roman"/>
        <family val="1"/>
      </rPr>
      <t>a2</t>
    </r>
  </si>
  <si>
    <r>
      <t xml:space="preserve">Доля других видов расходов  </t>
    </r>
    <r>
      <rPr>
        <b/>
        <sz val="10"/>
        <rFont val="Times New Roman"/>
        <family val="1"/>
      </rPr>
      <t>a3</t>
    </r>
  </si>
  <si>
    <r>
      <t xml:space="preserve">Экономически обоснованные тарифы  на водоснабжение и водоотведение                              </t>
    </r>
    <r>
      <rPr>
        <b/>
        <sz val="10"/>
        <rFont val="Times New Roman"/>
        <family val="1"/>
      </rPr>
      <t>Тn вод (Твод)</t>
    </r>
  </si>
  <si>
    <r>
      <t xml:space="preserve">Экономически обоснованные тарифы на электроэнергию   </t>
    </r>
    <r>
      <rPr>
        <b/>
        <sz val="10"/>
        <rFont val="Times New Roman"/>
        <family val="1"/>
      </rPr>
      <t>Тn эл (Тэл)</t>
    </r>
  </si>
  <si>
    <r>
      <t xml:space="preserve">Экономически обоснованные тарифы на теплоснабжение          </t>
    </r>
    <r>
      <rPr>
        <b/>
        <sz val="10"/>
        <rFont val="Times New Roman"/>
        <family val="1"/>
      </rPr>
      <t>Тn тепл (Ттепл)</t>
    </r>
  </si>
  <si>
    <r>
      <t xml:space="preserve">Коэф-т стоимости предоставления коммунальных услуг              </t>
    </r>
    <r>
      <rPr>
        <b/>
        <sz val="10"/>
        <rFont val="Times New Roman"/>
        <family val="1"/>
      </rPr>
      <t>Kn ку</t>
    </r>
  </si>
  <si>
    <r>
      <t xml:space="preserve">Удельный вес сельского населения поселения  </t>
    </r>
    <r>
      <rPr>
        <b/>
        <sz val="10"/>
        <rFont val="Times New Roman"/>
        <family val="1"/>
      </rPr>
      <t>УВСНn (УВСН)</t>
    </r>
  </si>
  <si>
    <r>
      <t xml:space="preserve">Коэффициент заработной платы в поселении        </t>
    </r>
    <r>
      <rPr>
        <b/>
        <sz val="10"/>
        <rFont val="Times New Roman"/>
        <family val="1"/>
      </rPr>
      <t>Kn  зп</t>
    </r>
  </si>
  <si>
    <r>
      <t xml:space="preserve">Расчетный удельный вес расходов на оплату труда и начисления на выплаты по оплате труда в среднем по бюджетам всех поселений     </t>
    </r>
    <r>
      <rPr>
        <b/>
        <sz val="10"/>
        <rFont val="Times New Roman"/>
        <family val="1"/>
      </rPr>
      <t>q1</t>
    </r>
  </si>
  <si>
    <r>
      <t xml:space="preserve">Расчетный удельный вес расходов на коммунальные услуги в среднем по бюджетам всех поселений          </t>
    </r>
    <r>
      <rPr>
        <b/>
        <sz val="10"/>
        <rFont val="Times New Roman"/>
        <family val="1"/>
      </rPr>
      <t>q2</t>
    </r>
  </si>
  <si>
    <r>
      <t xml:space="preserve">Коэффициент стоимости предоставления муниципальных услуг в поселении           </t>
    </r>
    <r>
      <rPr>
        <b/>
        <sz val="10"/>
        <rFont val="Times New Roman"/>
        <family val="1"/>
      </rPr>
      <t>Kn стоим</t>
    </r>
  </si>
  <si>
    <r>
      <t xml:space="preserve">Коэффициент структуры потребителей муниципальных услуг поселения     </t>
    </r>
    <r>
      <rPr>
        <b/>
        <sz val="10"/>
        <rFont val="Times New Roman"/>
        <family val="1"/>
      </rPr>
      <t>Kn стр</t>
    </r>
  </si>
  <si>
    <t>(Кn стоим*Kn стр*Hn)</t>
  </si>
  <si>
    <t>ПДj           НДФЛ</t>
  </si>
  <si>
    <t>НОРМj                  НДФЛ</t>
  </si>
  <si>
    <t>БНnj                    НДФЛ</t>
  </si>
  <si>
    <t>НПnj                         НДФЛ</t>
  </si>
  <si>
    <t>НОРМj                  Налог на имущество физических лиц</t>
  </si>
  <si>
    <t>БНnj                    Налог на имущество физических лиц</t>
  </si>
  <si>
    <t>НПnj                         Налог на имущество физических лиц</t>
  </si>
  <si>
    <t>ПДj   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</si>
  <si>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</si>
  <si>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</si>
  <si>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</si>
  <si>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НПnj                         Земельный налог</t>
  </si>
  <si>
    <r>
      <t xml:space="preserve">Налоговый потенциал поселения     </t>
    </r>
    <r>
      <rPr>
        <b/>
        <sz val="10"/>
        <rFont val="Times New Roman"/>
        <family val="1"/>
      </rPr>
      <t>НПn (НП)</t>
    </r>
  </si>
  <si>
    <r>
      <rPr>
        <sz val="10"/>
        <rFont val="Times New Roman"/>
        <family val="1"/>
      </rPr>
      <t xml:space="preserve">Индекс налогового потенциала поселения </t>
    </r>
    <r>
      <rPr>
        <b/>
        <sz val="10"/>
        <rFont val="Times New Roman"/>
        <family val="1"/>
      </rPr>
      <t xml:space="preserve"> ИНПn</t>
    </r>
  </si>
  <si>
    <r>
      <t xml:space="preserve">Часть районного фонда финансовой поддержки поселений, сформированная за счет собственных средств бюджета района, включая субсидию на формирование районных фондов финансовой поддержки поселений                </t>
    </r>
    <r>
      <rPr>
        <b/>
        <sz val="10"/>
        <rFont val="Times New Roman"/>
        <family val="1"/>
      </rPr>
      <t>Д2</t>
    </r>
  </si>
  <si>
    <r>
      <rPr>
        <sz val="10"/>
        <rFont val="Times New Roman"/>
        <family val="1"/>
      </rPr>
      <t xml:space="preserve">Индекс бюджетных расходов поселения  </t>
    </r>
    <r>
      <rPr>
        <b/>
        <sz val="10"/>
        <rFont val="Times New Roman"/>
        <family val="1"/>
      </rPr>
      <t>ИБРn</t>
    </r>
  </si>
  <si>
    <r>
      <t xml:space="preserve">Уровень расчетной бюджетной обеспеченности поселения </t>
    </r>
    <r>
      <rPr>
        <b/>
        <sz val="10"/>
        <rFont val="Times New Roman"/>
        <family val="1"/>
      </rPr>
      <t>БОn</t>
    </r>
  </si>
  <si>
    <r>
      <rPr>
        <sz val="10"/>
        <rFont val="Times New Roman"/>
        <family val="1"/>
      </rPr>
      <t xml:space="preserve">Прогноз налоговых доходов бюджетов поселений </t>
    </r>
    <r>
      <rPr>
        <b/>
        <sz val="10"/>
        <rFont val="Times New Roman"/>
        <family val="1"/>
      </rPr>
      <t>ПНД</t>
    </r>
  </si>
  <si>
    <r>
      <t xml:space="preserve">Уровень расчетной бюджетной обеспеченности, установленный в качестве критерия выравнивания расчетной бюджетной обеспеченности поселений                </t>
    </r>
    <r>
      <rPr>
        <b/>
        <sz val="10"/>
        <rFont val="Times New Roman"/>
        <family val="1"/>
      </rPr>
      <t>БО кр</t>
    </r>
  </si>
  <si>
    <r>
      <t xml:space="preserve">Объём средств, необходимых для доведения уровня расчетной бюджетной обеспеченности поселения до уровня, установленного в качестве критерия выравнивания расчетной бюджетной обеспеченности поселений                    </t>
    </r>
    <r>
      <rPr>
        <b/>
        <sz val="10"/>
        <rFont val="Times New Roman"/>
        <family val="1"/>
      </rPr>
      <t>Tn</t>
    </r>
  </si>
  <si>
    <r>
      <rPr>
        <sz val="10"/>
        <rFont val="Times New Roman"/>
        <family val="1"/>
      </rPr>
      <t xml:space="preserve">Размер второй части дотации на выравнивание бюджетной обеспеченности                               </t>
    </r>
    <r>
      <rPr>
        <b/>
        <sz val="10"/>
        <rFont val="Times New Roman"/>
        <family val="1"/>
      </rPr>
      <t>Д2n</t>
    </r>
  </si>
  <si>
    <r>
      <t xml:space="preserve">Размер субвенции бюджету муниципального района из бюджета автономного округа на предоставление дотаций на выравнивание бюджетной обеспеченности поселений за счет средств бюджета автономного округа  </t>
    </r>
    <r>
      <rPr>
        <b/>
        <sz val="10"/>
        <rFont val="Times New Roman"/>
        <family val="1"/>
      </rPr>
      <t>Субв</t>
    </r>
  </si>
  <si>
    <r>
      <t xml:space="preserve">Размер первой части дотации на выравнивание бюджетной обеспеченности поселений                        </t>
    </r>
    <r>
      <rPr>
        <b/>
        <sz val="10"/>
        <rFont val="Times New Roman"/>
        <family val="1"/>
      </rPr>
      <t>Д1n</t>
    </r>
  </si>
  <si>
    <r>
      <t xml:space="preserve">Размер дотации на выравнивание бюджетной обеспеченности поселению                             </t>
    </r>
    <r>
      <rPr>
        <b/>
        <sz val="10"/>
        <rFont val="Times New Roman"/>
        <family val="1"/>
      </rPr>
      <t>Дn</t>
    </r>
  </si>
  <si>
    <r>
      <t xml:space="preserve">Площадь жилого фонда поселения </t>
    </r>
    <r>
      <rPr>
        <b/>
        <sz val="10"/>
        <rFont val="Times New Roman"/>
        <family val="1"/>
      </rPr>
      <t>Пnжф (Пжф)</t>
    </r>
  </si>
  <si>
    <t>Налог на доходы физических лиц (по нормативу 10%)</t>
  </si>
  <si>
    <t>Налог на имущество физических лиц</t>
  </si>
  <si>
    <t>Земельный налог</t>
  </si>
  <si>
    <t>на 2014 год</t>
  </si>
  <si>
    <t>Сельское поселение Горноправдинск</t>
  </si>
  <si>
    <t>Сельское поселение Селиярово</t>
  </si>
  <si>
    <t>Сельское поселение Шапша</t>
  </si>
  <si>
    <t xml:space="preserve">Сельское поселение Кышик </t>
  </si>
  <si>
    <t>Сельское поселение Нялинское</t>
  </si>
  <si>
    <t>Сельское поселение Красноленинский</t>
  </si>
  <si>
    <t>Сельское поселение Кедровый</t>
  </si>
  <si>
    <t>Сельское поселение Луговской</t>
  </si>
  <si>
    <t>Сельское поселение Цингалы</t>
  </si>
  <si>
    <t>Сельское поселение Сибирский</t>
  </si>
  <si>
    <t>Сельское поселение Выкатной</t>
  </si>
  <si>
    <t>Сельское поселение Согом</t>
  </si>
  <si>
    <t>ИТОГО</t>
  </si>
  <si>
    <t>ИТОГО по  налогам</t>
  </si>
  <si>
    <t>тыс. руб.</t>
  </si>
  <si>
    <t>Наименование</t>
  </si>
  <si>
    <t>Расчет распределения дотации на 2014 год</t>
  </si>
  <si>
    <r>
      <t xml:space="preserve">Численность населения, проживающего в населенных пунктах с числ.населения не более 500 чел.      </t>
    </r>
    <r>
      <rPr>
        <b/>
        <sz val="10"/>
        <color indexed="8"/>
        <rFont val="Times New Roman"/>
        <family val="1"/>
      </rPr>
      <t>Hn500 (H500</t>
    </r>
    <r>
      <rPr>
        <sz val="10"/>
        <color indexed="8"/>
        <rFont val="Times New Roman"/>
        <family val="1"/>
      </rPr>
      <t>)</t>
    </r>
  </si>
  <si>
    <r>
      <t xml:space="preserve">Коэф-т дисперсности </t>
    </r>
    <r>
      <rPr>
        <b/>
        <sz val="10"/>
        <color indexed="8"/>
        <rFont val="Times New Roman"/>
        <family val="1"/>
      </rPr>
      <t>Kn дисп</t>
    </r>
  </si>
  <si>
    <r>
      <t xml:space="preserve">Площадь жилого фонда поселения </t>
    </r>
    <r>
      <rPr>
        <b/>
        <sz val="10"/>
        <color indexed="8"/>
        <rFont val="Times New Roman"/>
        <family val="1"/>
      </rPr>
      <t>Пnжф (Пжф)</t>
    </r>
  </si>
  <si>
    <r>
      <t xml:space="preserve">Коэффициент дифференциации расходов на содержание жилого фонда в поселении      </t>
    </r>
    <r>
      <rPr>
        <b/>
        <sz val="10"/>
        <color indexed="8"/>
        <rFont val="Times New Roman"/>
        <family val="1"/>
      </rPr>
      <t>Kn жф</t>
    </r>
  </si>
  <si>
    <r>
      <t xml:space="preserve">Средняя  численность  постоянного  населения  поселений, входящих  в состав территории муниципального района     </t>
    </r>
    <r>
      <rPr>
        <b/>
        <sz val="10"/>
        <color indexed="8"/>
        <rFont val="Times New Roman"/>
        <family val="1"/>
      </rPr>
      <t>Нср</t>
    </r>
  </si>
  <si>
    <r>
      <t xml:space="preserve">Коэф-т масштаба поселения      </t>
    </r>
    <r>
      <rPr>
        <b/>
        <sz val="10"/>
        <color indexed="8"/>
        <rFont val="Times New Roman"/>
        <family val="1"/>
      </rPr>
      <t>Кnм</t>
    </r>
  </si>
  <si>
    <r>
      <t xml:space="preserve">Доля расходов  на муниципальное управление и организацию оказания услуг в области культуры           </t>
    </r>
    <r>
      <rPr>
        <b/>
        <sz val="10"/>
        <color indexed="8"/>
        <rFont val="Times New Roman"/>
        <family val="1"/>
      </rPr>
      <t>a1</t>
    </r>
  </si>
  <si>
    <r>
      <t xml:space="preserve">Доля расходов на содержание муниципального жилого фонда   </t>
    </r>
    <r>
      <rPr>
        <b/>
        <sz val="10"/>
        <color indexed="8"/>
        <rFont val="Times New Roman"/>
        <family val="1"/>
      </rPr>
      <t>a2</t>
    </r>
  </si>
  <si>
    <r>
      <t xml:space="preserve">Доля других видов расходов  </t>
    </r>
    <r>
      <rPr>
        <b/>
        <sz val="10"/>
        <color indexed="8"/>
        <rFont val="Times New Roman"/>
        <family val="1"/>
      </rPr>
      <t>a3</t>
    </r>
  </si>
  <si>
    <r>
      <t xml:space="preserve">Коэффициент структуры потребителей муниципальных услуг поселения     </t>
    </r>
    <r>
      <rPr>
        <b/>
        <sz val="10"/>
        <color indexed="8"/>
        <rFont val="Times New Roman"/>
        <family val="1"/>
      </rPr>
      <t>Kn стр</t>
    </r>
  </si>
  <si>
    <r>
      <t xml:space="preserve">Экономически обоснованные тарифы  на водоснабжение и водоотведение                              </t>
    </r>
    <r>
      <rPr>
        <b/>
        <sz val="10"/>
        <color indexed="8"/>
        <rFont val="Times New Roman"/>
        <family val="1"/>
      </rPr>
      <t>Тn вод (Твод)</t>
    </r>
  </si>
  <si>
    <r>
      <t xml:space="preserve">Экономически обоснованные тарифы на теплоснабжение          </t>
    </r>
    <r>
      <rPr>
        <b/>
        <sz val="10"/>
        <color indexed="8"/>
        <rFont val="Times New Roman"/>
        <family val="1"/>
      </rPr>
      <t>Тn тепл (Ттепл)</t>
    </r>
  </si>
  <si>
    <r>
      <t xml:space="preserve">Экономически обоснованные тарифы на электроэнергию   </t>
    </r>
    <r>
      <rPr>
        <b/>
        <sz val="10"/>
        <color indexed="8"/>
        <rFont val="Times New Roman"/>
        <family val="1"/>
      </rPr>
      <t>Тn эл (Тэл)</t>
    </r>
  </si>
  <si>
    <r>
      <t xml:space="preserve">Коэф-т стоимости предоставления коммунальных услуг              </t>
    </r>
    <r>
      <rPr>
        <b/>
        <sz val="10"/>
        <color indexed="8"/>
        <rFont val="Times New Roman"/>
        <family val="1"/>
      </rPr>
      <t>Kn ку</t>
    </r>
  </si>
  <si>
    <r>
      <t xml:space="preserve">Удельный вес сельского населения поселения  </t>
    </r>
    <r>
      <rPr>
        <b/>
        <sz val="10"/>
        <color indexed="8"/>
        <rFont val="Times New Roman"/>
        <family val="1"/>
      </rPr>
      <t>УВСНn (УВСН)</t>
    </r>
  </si>
  <si>
    <r>
      <t xml:space="preserve">Коэффициент заработной платы в поселении        </t>
    </r>
    <r>
      <rPr>
        <b/>
        <sz val="10"/>
        <color indexed="8"/>
        <rFont val="Times New Roman"/>
        <family val="1"/>
      </rPr>
      <t>Kn  зп</t>
    </r>
  </si>
  <si>
    <r>
      <t xml:space="preserve">Расчетный удельный вес расходов на оплату труда и начисления на выплаты по оплате труда в среднем по бюджетам всех поселений     </t>
    </r>
    <r>
      <rPr>
        <b/>
        <sz val="10"/>
        <color indexed="8"/>
        <rFont val="Times New Roman"/>
        <family val="1"/>
      </rPr>
      <t>q1</t>
    </r>
  </si>
  <si>
    <r>
      <t xml:space="preserve">Расчетный удельный вес расходов на коммунальные услуги в среднем по бюджетам всех поселений          </t>
    </r>
    <r>
      <rPr>
        <b/>
        <sz val="10"/>
        <color indexed="8"/>
        <rFont val="Times New Roman"/>
        <family val="1"/>
      </rPr>
      <t>q2</t>
    </r>
  </si>
  <si>
    <r>
      <t xml:space="preserve">Коэффициент стоимости предоставления муниципальных услуг в поселении           </t>
    </r>
    <r>
      <rPr>
        <b/>
        <sz val="10"/>
        <color indexed="8"/>
        <rFont val="Times New Roman"/>
        <family val="1"/>
      </rPr>
      <t>Kn стоим</t>
    </r>
  </si>
  <si>
    <r>
      <rPr>
        <sz val="10"/>
        <color indexed="8"/>
        <rFont val="Times New Roman"/>
        <family val="1"/>
      </rPr>
      <t xml:space="preserve">Индекс бюджетных расходов поселения  </t>
    </r>
    <r>
      <rPr>
        <b/>
        <sz val="10"/>
        <color indexed="8"/>
        <rFont val="Times New Roman"/>
        <family val="1"/>
      </rPr>
      <t>ИБРn</t>
    </r>
  </si>
  <si>
    <r>
      <t xml:space="preserve">Налоговый потенциал поселения     </t>
    </r>
    <r>
      <rPr>
        <b/>
        <sz val="10"/>
        <color indexed="8"/>
        <rFont val="Times New Roman"/>
        <family val="1"/>
      </rPr>
      <t>НПn (НП)</t>
    </r>
  </si>
  <si>
    <r>
      <rPr>
        <sz val="10"/>
        <color indexed="8"/>
        <rFont val="Times New Roman"/>
        <family val="1"/>
      </rPr>
      <t xml:space="preserve">Индекс налогового потенциала поселения </t>
    </r>
    <r>
      <rPr>
        <b/>
        <sz val="10"/>
        <color indexed="8"/>
        <rFont val="Times New Roman"/>
        <family val="1"/>
      </rPr>
      <t xml:space="preserve"> ИНПn</t>
    </r>
  </si>
  <si>
    <r>
      <t xml:space="preserve">Уровень расчетной бюджетной обеспеченности поселения </t>
    </r>
    <r>
      <rPr>
        <b/>
        <sz val="10"/>
        <color indexed="8"/>
        <rFont val="Times New Roman"/>
        <family val="1"/>
      </rPr>
      <t>БОn</t>
    </r>
  </si>
  <si>
    <r>
      <rPr>
        <sz val="10"/>
        <color indexed="8"/>
        <rFont val="Times New Roman"/>
        <family val="1"/>
      </rPr>
      <t xml:space="preserve">Прогноз налоговых доходов бюджетов поселений </t>
    </r>
    <r>
      <rPr>
        <b/>
        <sz val="10"/>
        <color indexed="8"/>
        <rFont val="Times New Roman"/>
        <family val="1"/>
      </rPr>
      <t>ПНД</t>
    </r>
  </si>
  <si>
    <r>
      <t xml:space="preserve">Часть районного фонда финансовой поддержки поселений, сформированная за счет собственных средств бюджета района, включая субсидию на формирование районных фондов финансовой поддержки поселений                </t>
    </r>
    <r>
      <rPr>
        <b/>
        <sz val="10"/>
        <color indexed="8"/>
        <rFont val="Times New Roman"/>
        <family val="1"/>
      </rPr>
      <t>Д2</t>
    </r>
  </si>
  <si>
    <r>
      <t xml:space="preserve">Уровень расчетной бюджетной обеспеченности, установленный в качестве критерия выравнивания расчетной бюджетной обеспеченности поселений                </t>
    </r>
    <r>
      <rPr>
        <b/>
        <sz val="10"/>
        <color indexed="8"/>
        <rFont val="Times New Roman"/>
        <family val="1"/>
      </rPr>
      <t>БО кр</t>
    </r>
  </si>
  <si>
    <r>
      <t xml:space="preserve">Объём средств, необходимых для доведения уровня расчетной бюджетной обеспеченности поселения до уровня, установленного в качестве критерия выравнивания расчетной бюджетной обеспеченности поселений                    </t>
    </r>
    <r>
      <rPr>
        <b/>
        <sz val="10"/>
        <color indexed="8"/>
        <rFont val="Times New Roman"/>
        <family val="1"/>
      </rPr>
      <t>Tn</t>
    </r>
  </si>
  <si>
    <r>
      <rPr>
        <sz val="10"/>
        <color indexed="8"/>
        <rFont val="Times New Roman"/>
        <family val="1"/>
      </rPr>
      <t xml:space="preserve">Размер второй части дотации на выравнивание бюджетной обеспеченности                               </t>
    </r>
    <r>
      <rPr>
        <b/>
        <sz val="10"/>
        <color indexed="8"/>
        <rFont val="Times New Roman"/>
        <family val="1"/>
      </rPr>
      <t>Д2n</t>
    </r>
  </si>
  <si>
    <r>
      <t xml:space="preserve">Размер субвенции бюджету муниципального района из бюджета автономного округа на предоставление дотаций на выравнивание бюджетной обеспеченности поселений за счет средств бюджета автономного округа  </t>
    </r>
    <r>
      <rPr>
        <b/>
        <sz val="10"/>
        <color indexed="8"/>
        <rFont val="Times New Roman"/>
        <family val="1"/>
      </rPr>
      <t>Субв</t>
    </r>
  </si>
  <si>
    <r>
      <t xml:space="preserve">Размер первой части дотации на выравнивание бюджетной обеспеченности поселений                        </t>
    </r>
    <r>
      <rPr>
        <b/>
        <sz val="10"/>
        <color indexed="8"/>
        <rFont val="Times New Roman"/>
        <family val="1"/>
      </rPr>
      <t>Д1n</t>
    </r>
  </si>
  <si>
    <r>
      <t xml:space="preserve">Размер дотации на выравнивание бюджетной обеспеченности поселению                             </t>
    </r>
    <r>
      <rPr>
        <b/>
        <sz val="10"/>
        <color indexed="8"/>
        <rFont val="Times New Roman"/>
        <family val="1"/>
      </rPr>
      <t>Дn</t>
    </r>
  </si>
  <si>
    <r>
      <t xml:space="preserve">Весовой коэффициент, устанавливаемый уполномочен-ным органом местного самоуправления                                   </t>
    </r>
    <r>
      <rPr>
        <b/>
        <sz val="10"/>
        <color indexed="8"/>
        <rFont val="Times New Roman"/>
        <family val="1"/>
      </rPr>
      <t>С</t>
    </r>
  </si>
  <si>
    <t>Расчет налогового потенциала поселений на 2014 год</t>
  </si>
  <si>
    <t>Статья</t>
  </si>
  <si>
    <t>Выкатной</t>
  </si>
  <si>
    <t>Нялинское</t>
  </si>
  <si>
    <t>Итого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</si>
  <si>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</si>
  <si>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</si>
  <si>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</si>
  <si>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</si>
  <si>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</si>
  <si>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</si>
  <si>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</si>
  <si>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</si>
  <si>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</si>
  <si>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</si>
  <si>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</si>
  <si>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</si>
  <si>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</si>
  <si>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</si>
  <si>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</si>
  <si>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</si>
  <si>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</si>
  <si>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ВСЕГО</t>
  </si>
  <si>
    <t>211+213</t>
  </si>
  <si>
    <t>q1</t>
  </si>
  <si>
    <t>q2</t>
  </si>
  <si>
    <t>РАЗДЕЛ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</si>
  <si>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</si>
  <si>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</si>
  <si>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</si>
  <si>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</si>
  <si>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</si>
  <si>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</si>
  <si>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</si>
  <si>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</si>
  <si>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</si>
  <si>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</si>
  <si>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0100+0800</t>
  </si>
  <si>
    <t>а1</t>
  </si>
  <si>
    <t>а2</t>
  </si>
  <si>
    <t>Фактическое исполнение расходов на муниципальное управление и организацию оказания услуг в области культуры</t>
  </si>
  <si>
    <t>Фактическое исполнение расходов на содержание муниципального жилого фонда</t>
  </si>
  <si>
    <t>Фактическое исполнение других видов расходов</t>
  </si>
  <si>
    <t>а3</t>
  </si>
  <si>
    <t>Расчет налогового потенциала поселений на 2015 год</t>
  </si>
  <si>
    <t>на 2015 год</t>
  </si>
  <si>
    <t>Расчет распределения дотации на 2015 год</t>
  </si>
  <si>
    <t>3500200</t>
  </si>
  <si>
    <t>3500300</t>
  </si>
  <si>
    <t>РАЗДЕЛ 0501</t>
  </si>
  <si>
    <r>
      <t xml:space="preserve">Численность постоянного населения  на 01.01.2013 г.                                    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</si>
  <si>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01.01.2013 г.               </t>
    </r>
    <r>
      <rPr>
        <b/>
        <sz val="10"/>
        <rFont val="Times New Roman"/>
        <family val="1"/>
      </rPr>
      <t>Hn (H)</t>
    </r>
  </si>
  <si>
    <r>
      <t xml:space="preserve">Численность постоянного населения  на 01.01.2013 г.  </t>
    </r>
    <r>
      <rPr>
        <b/>
        <sz val="10"/>
        <color indexed="8"/>
        <rFont val="Times New Roman"/>
        <family val="1"/>
      </rPr>
      <t>Hn (H)</t>
    </r>
  </si>
  <si>
    <r>
      <t xml:space="preserve">Численность сельского населения на 01.01.2013 г.  </t>
    </r>
    <r>
      <rPr>
        <b/>
        <sz val="10"/>
        <color indexed="8"/>
        <rFont val="Times New Roman"/>
        <family val="1"/>
      </rPr>
      <t>Hn (H)</t>
    </r>
  </si>
  <si>
    <r>
      <t xml:space="preserve">Численность постоянного населения  на 01.01.2013 г.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</si>
  <si>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01.01.2013 г.  </t>
    </r>
    <r>
      <rPr>
        <b/>
        <sz val="10"/>
        <rFont val="Times New Roman"/>
        <family val="1"/>
      </rPr>
      <t>Hn (H)</t>
    </r>
  </si>
  <si>
    <t>Расчет распределения дотации на 2016 год</t>
  </si>
  <si>
    <t>Прогноз налоговых доходов бюджетов поселений (ПНД) на 2014-2016 годы</t>
  </si>
  <si>
    <t>на 2016 год</t>
  </si>
  <si>
    <t>Фактическое исполнение бюджета по сельским поселения района за 2012 год по экономическим статьям</t>
  </si>
  <si>
    <t xml:space="preserve">Фактическое исполнению бюджета по сельским поселениям района за 2012 год по разделам бюджетной классификации </t>
  </si>
  <si>
    <t>Расчет налогового потенциала поселений на 2016 год</t>
  </si>
  <si>
    <t>справочно</t>
  </si>
  <si>
    <t>в том числе</t>
  </si>
  <si>
    <t>0200</t>
  </si>
  <si>
    <t>Председатель комитета по финансам:                                                                 Т.Ю. Горелик</t>
  </si>
  <si>
    <t>Председатель комитета по финансам                                                                 Т.Ю Горелик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</si>
</sst>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  <numFmt numFmtId="167" formatCode="_-* #,##0.0_р_._-;\-* #,##0.0_р_._-;_-* &quot;-&quot;?_р_._-;_-@_-"/>
    <numFmt numFmtId="168" formatCode="_-* #,##0.000_р_._-;\-* #,##0.000_р_._-;_-* &quot;-&quot;???_р_._-;_-@_-"/>
    <numFmt numFmtId="169" formatCode="0.0%"/>
    <numFmt numFmtId="170" formatCode="#,##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,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7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164" fontId="71" fillId="0" borderId="0" xfId="0" applyNumberFormat="1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2" fontId="71" fillId="0" borderId="0" xfId="0" applyNumberFormat="1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74" fillId="0" borderId="10" xfId="63" applyNumberFormat="1" applyFont="1" applyFill="1" applyBorder="1" applyAlignment="1">
      <alignment vertical="center" wrapText="1"/>
    </xf>
    <xf numFmtId="164" fontId="75" fillId="0" borderId="10" xfId="63" applyNumberFormat="1" applyFont="1" applyFill="1" applyBorder="1" applyAlignment="1">
      <alignment vertical="center" wrapText="1"/>
    </xf>
    <xf numFmtId="2" fontId="75" fillId="0" borderId="10" xfId="63" applyNumberFormat="1" applyFont="1" applyFill="1" applyBorder="1" applyAlignment="1">
      <alignment vertical="center" wrapText="1"/>
    </xf>
    <xf numFmtId="164" fontId="74" fillId="0" borderId="10" xfId="63" applyNumberFormat="1" applyFont="1" applyFill="1" applyBorder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165" fontId="74" fillId="0" borderId="10" xfId="63" applyNumberFormat="1" applyFont="1" applyFill="1" applyBorder="1" applyAlignment="1">
      <alignment vertical="center" wrapText="1"/>
    </xf>
    <xf numFmtId="165" fontId="75" fillId="0" borderId="10" xfId="63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vertical="center" wrapText="1"/>
    </xf>
    <xf numFmtId="2" fontId="78" fillId="0" borderId="0" xfId="0" applyNumberFormat="1" applyFont="1" applyAlignment="1">
      <alignment horizontal="center" vertical="center" wrapText="1"/>
    </xf>
    <xf numFmtId="2" fontId="79" fillId="0" borderId="0" xfId="0" applyNumberFormat="1" applyFont="1" applyAlignment="1">
      <alignment vertical="center" wrapText="1"/>
    </xf>
    <xf numFmtId="2" fontId="80" fillId="0" borderId="0" xfId="0" applyNumberFormat="1" applyFont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74" fillId="0" borderId="10" xfId="63" applyNumberFormat="1" applyFont="1" applyFill="1" applyBorder="1" applyAlignment="1">
      <alignment vertical="center" wrapText="1"/>
    </xf>
    <xf numFmtId="0" fontId="72" fillId="0" borderId="0" xfId="0" applyFont="1" applyFill="1" applyAlignment="1">
      <alignment vertical="center" wrapText="1"/>
    </xf>
    <xf numFmtId="166" fontId="75" fillId="0" borderId="10" xfId="63" applyNumberFormat="1" applyFont="1" applyFill="1" applyBorder="1" applyAlignment="1">
      <alignment vertical="center" wrapText="1"/>
    </xf>
    <xf numFmtId="0" fontId="73" fillId="0" borderId="0" xfId="0" applyFont="1" applyFill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74" fillId="33" borderId="10" xfId="63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2" fontId="75" fillId="33" borderId="10" xfId="63" applyNumberFormat="1" applyFont="1" applyFill="1" applyBorder="1" applyAlignment="1">
      <alignment vertical="center" wrapText="1"/>
    </xf>
    <xf numFmtId="164" fontId="74" fillId="34" borderId="10" xfId="63" applyNumberFormat="1" applyFont="1" applyFill="1" applyBorder="1" applyAlignment="1">
      <alignment vertical="center" wrapText="1"/>
    </xf>
    <xf numFmtId="165" fontId="74" fillId="33" borderId="10" xfId="63" applyNumberFormat="1" applyFont="1" applyFill="1" applyBorder="1" applyAlignment="1">
      <alignment vertical="center" wrapText="1"/>
    </xf>
    <xf numFmtId="165" fontId="74" fillId="34" borderId="10" xfId="63" applyNumberFormat="1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81" fillId="0" borderId="0" xfId="0" applyNumberFormat="1" applyFont="1" applyFill="1" applyAlignment="1">
      <alignment vertical="center" wrapText="1"/>
    </xf>
    <xf numFmtId="165" fontId="81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5" fontId="4" fillId="0" borderId="10" xfId="63" applyNumberFormat="1" applyFont="1" applyFill="1" applyBorder="1" applyAlignment="1">
      <alignment vertical="center" wrapText="1"/>
    </xf>
    <xf numFmtId="165" fontId="4" fillId="33" borderId="10" xfId="63" applyNumberFormat="1" applyFont="1" applyFill="1" applyBorder="1" applyAlignment="1">
      <alignment vertical="center" wrapText="1"/>
    </xf>
    <xf numFmtId="164" fontId="4" fillId="33" borderId="10" xfId="63" applyNumberFormat="1" applyFont="1" applyFill="1" applyBorder="1" applyAlignment="1">
      <alignment vertical="center" wrapText="1"/>
    </xf>
    <xf numFmtId="165" fontId="5" fillId="0" borderId="10" xfId="63" applyNumberFormat="1" applyFont="1" applyFill="1" applyBorder="1" applyAlignment="1">
      <alignment vertical="center" wrapText="1"/>
    </xf>
    <xf numFmtId="164" fontId="75" fillId="33" borderId="10" xfId="63" applyNumberFormat="1" applyFont="1" applyFill="1" applyBorder="1" applyAlignment="1">
      <alignment vertical="center" wrapText="1"/>
    </xf>
    <xf numFmtId="165" fontId="5" fillId="33" borderId="10" xfId="63" applyNumberFormat="1" applyFont="1" applyFill="1" applyBorder="1" applyAlignment="1">
      <alignment vertical="center" wrapText="1"/>
    </xf>
    <xf numFmtId="164" fontId="82" fillId="33" borderId="10" xfId="63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5" fontId="4" fillId="35" borderId="10" xfId="63" applyNumberFormat="1" applyFont="1" applyFill="1" applyBorder="1" applyAlignment="1">
      <alignment vertical="center" wrapText="1"/>
    </xf>
    <xf numFmtId="165" fontId="5" fillId="35" borderId="10" xfId="63" applyNumberFormat="1" applyFont="1" applyFill="1" applyBorder="1" applyAlignment="1">
      <alignment vertical="center" wrapText="1"/>
    </xf>
    <xf numFmtId="165" fontId="6" fillId="35" borderId="10" xfId="0" applyNumberFormat="1" applyFont="1" applyFill="1" applyBorder="1" applyAlignment="1">
      <alignment horizontal="center" vertical="center" wrapText="1"/>
    </xf>
    <xf numFmtId="165" fontId="6" fillId="36" borderId="10" xfId="0" applyNumberFormat="1" applyFont="1" applyFill="1" applyBorder="1" applyAlignment="1">
      <alignment horizontal="center" vertical="center" wrapText="1"/>
    </xf>
    <xf numFmtId="164" fontId="83" fillId="34" borderId="10" xfId="63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164" fontId="71" fillId="33" borderId="10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center" wrapText="1"/>
    </xf>
    <xf numFmtId="165" fontId="71" fillId="0" borderId="10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164" fontId="84" fillId="0" borderId="10" xfId="0" applyNumberFormat="1" applyFont="1" applyFill="1" applyBorder="1" applyAlignment="1">
      <alignment horizontal="center" vertical="center" wrapText="1"/>
    </xf>
    <xf numFmtId="164" fontId="84" fillId="35" borderId="10" xfId="0" applyNumberFormat="1" applyFont="1" applyFill="1" applyBorder="1" applyAlignment="1">
      <alignment horizontal="center" vertical="center" wrapText="1"/>
    </xf>
    <xf numFmtId="165" fontId="71" fillId="35" borderId="10" xfId="0" applyNumberFormat="1" applyFont="1" applyFill="1" applyBorder="1" applyAlignment="1">
      <alignment horizontal="center" vertical="center" wrapText="1"/>
    </xf>
    <xf numFmtId="165" fontId="71" fillId="36" borderId="10" xfId="0" applyNumberFormat="1" applyFont="1" applyFill="1" applyBorder="1" applyAlignment="1">
      <alignment horizontal="center" vertical="center" wrapText="1"/>
    </xf>
    <xf numFmtId="165" fontId="75" fillId="33" borderId="10" xfId="63" applyNumberFormat="1" applyFont="1" applyFill="1" applyBorder="1" applyAlignment="1">
      <alignment vertical="center" wrapText="1"/>
    </xf>
    <xf numFmtId="165" fontId="74" fillId="35" borderId="10" xfId="63" applyNumberFormat="1" applyFont="1" applyFill="1" applyBorder="1" applyAlignment="1">
      <alignment vertical="center" wrapText="1"/>
    </xf>
    <xf numFmtId="165" fontId="75" fillId="35" borderId="10" xfId="63" applyNumberFormat="1" applyFont="1" applyFill="1" applyBorder="1" applyAlignment="1">
      <alignment vertical="center" wrapText="1"/>
    </xf>
    <xf numFmtId="165" fontId="4" fillId="34" borderId="10" xfId="63" applyNumberFormat="1" applyFont="1" applyFill="1" applyBorder="1" applyAlignment="1">
      <alignment vertical="center" wrapText="1"/>
    </xf>
    <xf numFmtId="165" fontId="83" fillId="34" borderId="10" xfId="63" applyNumberFormat="1" applyFont="1" applyFill="1" applyBorder="1" applyAlignment="1">
      <alignment vertical="center" wrapText="1"/>
    </xf>
    <xf numFmtId="2" fontId="77" fillId="0" borderId="0" xfId="0" applyNumberFormat="1" applyFont="1" applyFill="1" applyAlignment="1">
      <alignment vertical="center" wrapText="1"/>
    </xf>
    <xf numFmtId="165" fontId="5" fillId="34" borderId="10" xfId="63" applyNumberFormat="1" applyFont="1" applyFill="1" applyBorder="1" applyAlignment="1">
      <alignment vertical="center" wrapText="1"/>
    </xf>
    <xf numFmtId="164" fontId="5" fillId="33" borderId="10" xfId="63" applyNumberFormat="1" applyFont="1" applyFill="1" applyBorder="1" applyAlignment="1">
      <alignment vertical="center" wrapText="1"/>
    </xf>
    <xf numFmtId="164" fontId="71" fillId="34" borderId="10" xfId="0" applyNumberFormat="1" applyFont="1" applyFill="1" applyBorder="1" applyAlignment="1">
      <alignment horizontal="center" vertical="center" wrapText="1"/>
    </xf>
    <xf numFmtId="165" fontId="75" fillId="34" borderId="10" xfId="63" applyNumberFormat="1" applyFont="1" applyFill="1" applyBorder="1" applyAlignment="1">
      <alignment vertical="center" wrapText="1"/>
    </xf>
    <xf numFmtId="164" fontId="84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/>
    </xf>
    <xf numFmtId="49" fontId="6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2" fontId="61" fillId="34" borderId="0" xfId="0" applyNumberFormat="1" applyFont="1" applyFill="1" applyAlignment="1">
      <alignment/>
    </xf>
    <xf numFmtId="0" fontId="61" fillId="34" borderId="0" xfId="0" applyFont="1" applyFill="1" applyAlignment="1">
      <alignment horizontal="center"/>
    </xf>
    <xf numFmtId="49" fontId="61" fillId="0" borderId="0" xfId="0" applyNumberFormat="1" applyFont="1" applyBorder="1" applyAlignment="1">
      <alignment/>
    </xf>
    <xf numFmtId="0" fontId="85" fillId="0" borderId="0" xfId="0" applyFont="1" applyBorder="1" applyAlignment="1">
      <alignment horizontal="center"/>
    </xf>
    <xf numFmtId="1" fontId="85" fillId="0" borderId="0" xfId="0" applyNumberFormat="1" applyFont="1" applyBorder="1" applyAlignment="1">
      <alignment horizontal="center"/>
    </xf>
    <xf numFmtId="2" fontId="8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0" xfId="0" applyNumberFormat="1" applyFont="1" applyBorder="1" applyAlignment="1">
      <alignment/>
    </xf>
    <xf numFmtId="2" fontId="61" fillId="34" borderId="0" xfId="0" applyNumberFormat="1" applyFont="1" applyFill="1" applyBorder="1" applyAlignment="1">
      <alignment/>
    </xf>
    <xf numFmtId="2" fontId="74" fillId="36" borderId="10" xfId="63" applyNumberFormat="1" applyFont="1" applyFill="1" applyBorder="1" applyAlignment="1">
      <alignment vertical="center" wrapText="1"/>
    </xf>
    <xf numFmtId="2" fontId="75" fillId="36" borderId="10" xfId="63" applyNumberFormat="1" applyFont="1" applyFill="1" applyBorder="1" applyAlignment="1">
      <alignment vertical="center" wrapText="1"/>
    </xf>
    <xf numFmtId="49" fontId="61" fillId="0" borderId="10" xfId="0" applyNumberFormat="1" applyFont="1" applyBorder="1" applyAlignment="1">
      <alignment horizontal="center" wrapText="1"/>
    </xf>
    <xf numFmtId="2" fontId="61" fillId="34" borderId="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/>
    </xf>
    <xf numFmtId="177" fontId="48" fillId="0" borderId="0" xfId="0" applyNumberFormat="1" applyFont="1" applyAlignment="1">
      <alignment/>
    </xf>
    <xf numFmtId="177" fontId="61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ill="1" applyBorder="1" applyAlignment="1">
      <alignment horizontal="center" vertical="center"/>
    </xf>
    <xf numFmtId="177" fontId="85" fillId="0" borderId="10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7" fillId="0" borderId="0" xfId="33" applyFont="1" applyFill="1" applyAlignment="1" applyProtection="1">
      <alignment vertical="center" wrapText="1"/>
      <protection/>
    </xf>
    <xf numFmtId="0" fontId="86" fillId="0" borderId="0" xfId="0" applyFont="1" applyFill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center" vertical="center" wrapText="1"/>
      <protection/>
    </xf>
    <xf numFmtId="0" fontId="11" fillId="33" borderId="10" xfId="54" applyFont="1" applyFill="1" applyBorder="1" applyAlignment="1" applyProtection="1">
      <alignment horizontal="center" vertical="center" wrapText="1"/>
      <protection/>
    </xf>
    <xf numFmtId="0" fontId="11" fillId="35" borderId="10" xfId="54" applyFont="1" applyFill="1" applyBorder="1" applyAlignment="1" applyProtection="1">
      <alignment horizontal="center" vertical="center" wrapText="1"/>
      <protection/>
    </xf>
    <xf numFmtId="0" fontId="11" fillId="36" borderId="10" xfId="54" applyFont="1" applyFill="1" applyBorder="1" applyAlignment="1" applyProtection="1">
      <alignment horizontal="center" vertical="center" wrapText="1"/>
      <protection/>
    </xf>
    <xf numFmtId="0" fontId="7" fillId="0" borderId="10" xfId="33" applyNumberFormat="1" applyFont="1" applyFill="1" applyBorder="1" applyAlignment="1" applyProtection="1">
      <alignment horizontal="left" vertical="center" wrapText="1"/>
      <protection/>
    </xf>
    <xf numFmtId="177" fontId="10" fillId="33" borderId="10" xfId="54" applyNumberFormat="1" applyFont="1" applyFill="1" applyBorder="1" applyAlignment="1" applyProtection="1">
      <alignment horizontal="center" vertical="center" wrapText="1"/>
      <protection/>
    </xf>
    <xf numFmtId="177" fontId="10" fillId="35" borderId="10" xfId="54" applyNumberFormat="1" applyFont="1" applyFill="1" applyBorder="1" applyAlignment="1" applyProtection="1">
      <alignment horizontal="center" vertical="center" wrapText="1"/>
      <protection/>
    </xf>
    <xf numFmtId="177" fontId="10" fillId="36" borderId="10" xfId="54" applyNumberFormat="1" applyFont="1" applyFill="1" applyBorder="1" applyAlignment="1" applyProtection="1">
      <alignment horizontal="center" vertical="center" wrapText="1"/>
      <protection/>
    </xf>
    <xf numFmtId="165" fontId="10" fillId="33" borderId="10" xfId="63" applyNumberFormat="1" applyFont="1" applyFill="1" applyBorder="1" applyAlignment="1" applyProtection="1">
      <alignment vertical="center" wrapText="1"/>
      <protection/>
    </xf>
    <xf numFmtId="165" fontId="10" fillId="35" borderId="10" xfId="63" applyNumberFormat="1" applyFont="1" applyFill="1" applyBorder="1" applyAlignment="1" applyProtection="1">
      <alignment vertical="center" wrapText="1"/>
      <protection/>
    </xf>
    <xf numFmtId="165" fontId="10" fillId="36" borderId="10" xfId="63" applyNumberFormat="1" applyFont="1" applyFill="1" applyBorder="1" applyAlignment="1" applyProtection="1">
      <alignment vertical="center" wrapText="1"/>
      <protection/>
    </xf>
    <xf numFmtId="177" fontId="9" fillId="33" borderId="10" xfId="33" applyNumberFormat="1" applyFont="1" applyFill="1" applyBorder="1" applyAlignment="1" applyProtection="1">
      <alignment horizontal="center" vertical="center" wrapText="1"/>
      <protection/>
    </xf>
    <xf numFmtId="177" fontId="9" fillId="35" borderId="10" xfId="33" applyNumberFormat="1" applyFont="1" applyFill="1" applyBorder="1" applyAlignment="1" applyProtection="1">
      <alignment horizontal="center" vertical="center" wrapText="1"/>
      <protection/>
    </xf>
    <xf numFmtId="177" fontId="9" fillId="36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vertical="center" wrapText="1"/>
      <protection/>
    </xf>
    <xf numFmtId="177" fontId="9" fillId="33" borderId="10" xfId="33" applyNumberFormat="1" applyFont="1" applyFill="1" applyBorder="1" applyAlignment="1" applyProtection="1">
      <alignment vertical="center" wrapText="1"/>
      <protection/>
    </xf>
    <xf numFmtId="177" fontId="9" fillId="35" borderId="10" xfId="33" applyNumberFormat="1" applyFont="1" applyFill="1" applyBorder="1" applyAlignment="1" applyProtection="1">
      <alignment vertical="center" wrapText="1"/>
      <protection/>
    </xf>
    <xf numFmtId="177" fontId="9" fillId="36" borderId="10" xfId="33" applyNumberFormat="1" applyFont="1" applyFill="1" applyBorder="1" applyAlignment="1" applyProtection="1">
      <alignment vertical="center" wrapText="1"/>
      <protection/>
    </xf>
    <xf numFmtId="0" fontId="9" fillId="0" borderId="0" xfId="33" applyFont="1" applyFill="1" applyAlignment="1" applyProtection="1">
      <alignment vertical="center" wrapText="1"/>
      <protection/>
    </xf>
    <xf numFmtId="3" fontId="4" fillId="0" borderId="10" xfId="33" applyNumberFormat="1" applyFont="1" applyFill="1" applyBorder="1">
      <alignment/>
      <protection/>
    </xf>
    <xf numFmtId="2" fontId="4" fillId="0" borderId="10" xfId="63" applyNumberFormat="1" applyFont="1" applyFill="1" applyBorder="1" applyAlignment="1">
      <alignment vertical="center" wrapText="1"/>
    </xf>
    <xf numFmtId="165" fontId="5" fillId="34" borderId="10" xfId="63" applyNumberFormat="1" applyFont="1" applyFill="1" applyBorder="1" applyAlignment="1" applyProtection="1">
      <alignment vertical="center" wrapText="1"/>
      <protection locked="0"/>
    </xf>
    <xf numFmtId="177" fontId="14" fillId="0" borderId="0" xfId="0" applyNumberFormat="1" applyFont="1" applyFill="1" applyAlignment="1">
      <alignment vertical="center" wrapText="1"/>
    </xf>
    <xf numFmtId="177" fontId="72" fillId="0" borderId="0" xfId="0" applyNumberFormat="1" applyFont="1" applyFill="1" applyAlignment="1">
      <alignment vertical="center" wrapText="1"/>
    </xf>
    <xf numFmtId="177" fontId="87" fillId="0" borderId="0" xfId="0" applyNumberFormat="1" applyFont="1" applyFill="1" applyAlignment="1">
      <alignment vertical="center" wrapText="1"/>
    </xf>
    <xf numFmtId="177" fontId="4" fillId="0" borderId="10" xfId="63" applyNumberFormat="1" applyFont="1" applyFill="1" applyBorder="1" applyAlignment="1" applyProtection="1">
      <alignment vertical="center" wrapText="1"/>
      <protection locked="0"/>
    </xf>
    <xf numFmtId="177" fontId="75" fillId="0" borderId="10" xfId="63" applyNumberFormat="1" applyFont="1" applyFill="1" applyBorder="1" applyAlignment="1">
      <alignment vertical="center" wrapText="1"/>
    </xf>
    <xf numFmtId="177" fontId="4" fillId="33" borderId="10" xfId="63" applyNumberFormat="1" applyFont="1" applyFill="1" applyBorder="1" applyAlignment="1">
      <alignment vertical="center" wrapText="1"/>
    </xf>
    <xf numFmtId="177" fontId="5" fillId="0" borderId="10" xfId="63" applyNumberFormat="1" applyFont="1" applyFill="1" applyBorder="1" applyAlignment="1">
      <alignment vertical="center" wrapText="1"/>
    </xf>
    <xf numFmtId="177" fontId="74" fillId="33" borderId="10" xfId="63" applyNumberFormat="1" applyFont="1" applyFill="1" applyBorder="1" applyAlignment="1">
      <alignment vertical="center" wrapText="1"/>
    </xf>
    <xf numFmtId="177" fontId="74" fillId="34" borderId="10" xfId="63" applyNumberFormat="1" applyFont="1" applyFill="1" applyBorder="1" applyAlignment="1">
      <alignment vertical="center" wrapText="1"/>
    </xf>
    <xf numFmtId="177" fontId="75" fillId="34" borderId="10" xfId="63" applyNumberFormat="1" applyFont="1" applyFill="1" applyBorder="1" applyAlignment="1">
      <alignment vertical="center" wrapText="1"/>
    </xf>
    <xf numFmtId="177" fontId="4" fillId="34" borderId="10" xfId="63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2" fontId="15" fillId="0" borderId="0" xfId="0" applyNumberFormat="1" applyFont="1" applyAlignment="1">
      <alignment vertical="center" wrapText="1"/>
    </xf>
    <xf numFmtId="164" fontId="75" fillId="0" borderId="10" xfId="63" applyNumberFormat="1" applyFont="1" applyFill="1" applyBorder="1" applyAlignment="1" applyProtection="1">
      <alignment vertical="center" wrapText="1"/>
      <protection locked="0"/>
    </xf>
    <xf numFmtId="4" fontId="4" fillId="36" borderId="10" xfId="63" applyNumberFormat="1" applyFont="1" applyFill="1" applyBorder="1" applyAlignment="1">
      <alignment vertical="center" wrapText="1"/>
    </xf>
    <xf numFmtId="4" fontId="5" fillId="36" borderId="10" xfId="63" applyNumberFormat="1" applyFont="1" applyFill="1" applyBorder="1" applyAlignment="1">
      <alignment vertical="center" wrapText="1"/>
    </xf>
    <xf numFmtId="4" fontId="74" fillId="36" borderId="10" xfId="63" applyNumberFormat="1" applyFont="1" applyFill="1" applyBorder="1" applyAlignment="1">
      <alignment vertical="center" wrapText="1"/>
    </xf>
    <xf numFmtId="4" fontId="75" fillId="36" borderId="10" xfId="63" applyNumberFormat="1" applyFont="1" applyFill="1" applyBorder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vertical="center" wrapText="1"/>
    </xf>
    <xf numFmtId="4" fontId="73" fillId="0" borderId="10" xfId="0" applyNumberFormat="1" applyFont="1" applyFill="1" applyBorder="1" applyAlignment="1">
      <alignment vertical="center" wrapText="1"/>
    </xf>
    <xf numFmtId="177" fontId="72" fillId="0" borderId="10" xfId="0" applyNumberFormat="1" applyFont="1" applyFill="1" applyBorder="1" applyAlignment="1">
      <alignment vertical="center" wrapText="1"/>
    </xf>
    <xf numFmtId="177" fontId="73" fillId="0" borderId="1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/>
    </xf>
    <xf numFmtId="2" fontId="72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Alignment="1" applyProtection="1">
      <alignment horizontal="center" vertical="center" wrapText="1"/>
      <protection/>
    </xf>
    <xf numFmtId="0" fontId="88" fillId="10" borderId="0" xfId="0" applyFont="1" applyFill="1" applyAlignment="1">
      <alignment horizontal="center"/>
    </xf>
    <xf numFmtId="0" fontId="89" fillId="11" borderId="0" xfId="0" applyFont="1" applyFill="1" applyAlignment="1">
      <alignment horizontal="center"/>
    </xf>
    <xf numFmtId="0" fontId="88" fillId="13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.Приложение 1- свод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tabSelected="1" view="pageBreakPreview" zoomScale="110" zoomScaleNormal="80" zoomScaleSheetLayoutView="110" zoomScalePageLayoutView="0" workbookViewId="0" topLeftCell="A1">
      <pane xSplit="1" topLeftCell="B1" activePane="topRight" state="frozen"/>
      <selection pane="topLeft" activeCell="A3" sqref="A3"/>
      <selection pane="topRight" activeCell="AK1" sqref="AK1:AP16384"/>
    </sheetView>
  </sheetViews>
  <sheetFormatPr defaultColWidth="9.140625" defaultRowHeight="15"/>
  <cols>
    <col min="1" max="1" width="26.28125" style="23" customWidth="1"/>
    <col min="2" max="3" width="11.7109375" style="23" customWidth="1"/>
    <col min="4" max="4" width="11.421875" style="23" customWidth="1"/>
    <col min="5" max="6" width="13.421875" style="23" customWidth="1"/>
    <col min="7" max="7" width="12.8515625" style="22" customWidth="1"/>
    <col min="8" max="8" width="11.7109375" style="22" customWidth="1"/>
    <col min="9" max="9" width="15.28125" style="22" customWidth="1"/>
    <col min="10" max="11" width="13.57421875" style="22" customWidth="1"/>
    <col min="12" max="12" width="14.8515625" style="22" customWidth="1"/>
    <col min="13" max="14" width="13.57421875" style="22" customWidth="1"/>
    <col min="15" max="15" width="15.28125" style="6" customWidth="1"/>
    <col min="16" max="16" width="14.140625" style="6" customWidth="1"/>
    <col min="17" max="17" width="15.28125" style="6" customWidth="1"/>
    <col min="18" max="26" width="11.7109375" style="22" customWidth="1"/>
    <col min="27" max="27" width="11.7109375" style="43" customWidth="1"/>
    <col min="28" max="28" width="11.7109375" style="41" customWidth="1"/>
    <col min="29" max="29" width="11.7109375" style="43" customWidth="1"/>
    <col min="30" max="31" width="16.28125" style="43" customWidth="1"/>
    <col min="32" max="32" width="18.421875" style="43" customWidth="1"/>
    <col min="33" max="33" width="13.7109375" style="41" customWidth="1"/>
    <col min="34" max="34" width="17.7109375" style="41" customWidth="1"/>
    <col min="35" max="35" width="14.7109375" style="42" customWidth="1"/>
    <col min="36" max="36" width="14.57421875" style="42" customWidth="1"/>
    <col min="37" max="16384" width="9.140625" style="23" customWidth="1"/>
  </cols>
  <sheetData>
    <row r="1" spans="1:36" ht="24.75" customHeight="1">
      <c r="A1" s="161" t="s">
        <v>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s="27" customFormat="1" ht="230.25" customHeight="1">
      <c r="A2" s="155" t="s">
        <v>0</v>
      </c>
      <c r="B2" s="25" t="s">
        <v>164</v>
      </c>
      <c r="C2" s="25" t="s">
        <v>165</v>
      </c>
      <c r="D2" s="25" t="s">
        <v>16</v>
      </c>
      <c r="E2" s="35" t="s">
        <v>17</v>
      </c>
      <c r="F2" s="15" t="s">
        <v>60</v>
      </c>
      <c r="G2" s="35" t="s">
        <v>18</v>
      </c>
      <c r="H2" s="15" t="s">
        <v>19</v>
      </c>
      <c r="I2" s="15" t="s">
        <v>20</v>
      </c>
      <c r="J2" s="35" t="s">
        <v>21</v>
      </c>
      <c r="K2" s="26" t="s">
        <v>22</v>
      </c>
      <c r="L2" s="26" t="s">
        <v>23</v>
      </c>
      <c r="M2" s="26" t="s">
        <v>24</v>
      </c>
      <c r="N2" s="35" t="s">
        <v>34</v>
      </c>
      <c r="O2" s="16" t="s">
        <v>25</v>
      </c>
      <c r="P2" s="16" t="s">
        <v>27</v>
      </c>
      <c r="Q2" s="16" t="s">
        <v>26</v>
      </c>
      <c r="R2" s="35" t="s">
        <v>28</v>
      </c>
      <c r="S2" s="15" t="s">
        <v>29</v>
      </c>
      <c r="T2" s="35" t="s">
        <v>30</v>
      </c>
      <c r="U2" s="15" t="s">
        <v>31</v>
      </c>
      <c r="V2" s="15" t="s">
        <v>32</v>
      </c>
      <c r="W2" s="35" t="s">
        <v>33</v>
      </c>
      <c r="X2" s="21" t="s">
        <v>35</v>
      </c>
      <c r="Y2" s="33" t="s">
        <v>51</v>
      </c>
      <c r="Z2" s="35" t="s">
        <v>48</v>
      </c>
      <c r="AA2" s="33" t="s">
        <v>49</v>
      </c>
      <c r="AB2" s="35" t="s">
        <v>52</v>
      </c>
      <c r="AC2" s="21" t="s">
        <v>53</v>
      </c>
      <c r="AD2" s="40" t="s">
        <v>50</v>
      </c>
      <c r="AE2" s="35" t="s">
        <v>54</v>
      </c>
      <c r="AF2" s="15" t="s">
        <v>55</v>
      </c>
      <c r="AG2" s="51" t="s">
        <v>56</v>
      </c>
      <c r="AH2" s="40" t="s">
        <v>57</v>
      </c>
      <c r="AI2" s="54" t="s">
        <v>58</v>
      </c>
      <c r="AJ2" s="55" t="s">
        <v>59</v>
      </c>
    </row>
    <row r="3" spans="1:36" s="30" customFormat="1" ht="18.75">
      <c r="A3" s="28" t="s">
        <v>1</v>
      </c>
      <c r="B3" s="133">
        <v>5187</v>
      </c>
      <c r="C3" s="133">
        <v>5187</v>
      </c>
      <c r="D3" s="133">
        <v>513</v>
      </c>
      <c r="E3" s="34">
        <f>(1+D3/B3)/(1+D$15/B$15)</f>
        <v>0.8971816360978924</v>
      </c>
      <c r="F3" s="134">
        <v>124.8</v>
      </c>
      <c r="G3" s="34">
        <f>(F3/B3)/(F$15/B$15)</f>
        <v>1.1500802346716292</v>
      </c>
      <c r="H3" s="29"/>
      <c r="I3" s="13"/>
      <c r="J3" s="34">
        <f aca="true" t="shared" si="0" ref="J3:J15">SUM(I$15+(1-I$15)*H$15/B3)</f>
        <v>0.812617360709466</v>
      </c>
      <c r="K3" s="8"/>
      <c r="L3" s="8"/>
      <c r="M3" s="8"/>
      <c r="N3" s="36">
        <f>SUM(K$15*J3+L$15*G3+M$15*E3)</f>
        <v>0.8523180232839243</v>
      </c>
      <c r="O3" s="134">
        <v>78.6</v>
      </c>
      <c r="P3" s="134">
        <v>1741.06</v>
      </c>
      <c r="Q3" s="134">
        <v>4.44</v>
      </c>
      <c r="R3" s="34">
        <f>SUM(0.2*O3/O$15+0.65*P3/P$15+0.15*Q3/Q$15)</f>
        <v>0.6251524296834576</v>
      </c>
      <c r="S3" s="11">
        <f>SUM(C3/B3)</f>
        <v>1</v>
      </c>
      <c r="T3" s="34">
        <f>SUM((1+0.25*S3)/(1+0.25*S$15))</f>
        <v>1</v>
      </c>
      <c r="U3" s="13"/>
      <c r="V3" s="13"/>
      <c r="W3" s="34">
        <f>SUM(U$15*T3+V$15*R3+1-U$15-V$15)</f>
        <v>0.9759813767822274</v>
      </c>
      <c r="X3" s="13">
        <f>SUM(W3*N3*B3)</f>
        <v>4314.787887937273</v>
      </c>
      <c r="Y3" s="34">
        <f>SUM(W3*N3*B$15/X$15)</f>
        <v>0.8356368643512491</v>
      </c>
      <c r="Z3" s="45">
        <f>SUM(НПn2014!N3)</f>
        <v>9095.988635302449</v>
      </c>
      <c r="AA3" s="46">
        <f>(Z3/B3)/(Z$15/B$15)</f>
        <v>1.5297802037765964</v>
      </c>
      <c r="AB3" s="46">
        <f>SUM(AA3/Y3)</f>
        <v>1.8306758222834616</v>
      </c>
      <c r="AC3" s="44">
        <f>SUM(ПНД!K5)</f>
        <v>8138</v>
      </c>
      <c r="AD3" s="69"/>
      <c r="AE3" s="45">
        <f aca="true" t="shared" si="1" ref="AE3:AE15">SUM(AC$15+AD$15)/AC$15</f>
        <v>13.703368940016434</v>
      </c>
      <c r="AF3" s="44">
        <f>SUM(AC$15/B$15)*(AE$15-AB3)*Y3*B3</f>
        <v>68705.76253028575</v>
      </c>
      <c r="AG3" s="52">
        <f>SUM(AD$15*AF3/AF$15)</f>
        <v>68705.76253028576</v>
      </c>
      <c r="AH3" s="56"/>
      <c r="AI3" s="52">
        <f>SUM(AH$15*B3/B$15)</f>
        <v>8254.929405956887</v>
      </c>
      <c r="AJ3" s="150">
        <f aca="true" t="shared" si="2" ref="AJ3:AJ14">SUM(AI3+AG3)</f>
        <v>76960.69193624266</v>
      </c>
    </row>
    <row r="4" spans="1:36" s="30" customFormat="1" ht="18.75">
      <c r="A4" s="28" t="s">
        <v>2</v>
      </c>
      <c r="B4" s="133">
        <v>1050</v>
      </c>
      <c r="C4" s="133">
        <v>1050</v>
      </c>
      <c r="D4" s="133">
        <v>0</v>
      </c>
      <c r="E4" s="34">
        <f aca="true" t="shared" si="3" ref="E4:E15">(1+D4/B4)/(1+D$15/B$15)</f>
        <v>0.816435288849082</v>
      </c>
      <c r="F4" s="134">
        <v>13.3</v>
      </c>
      <c r="G4" s="34">
        <f aca="true" t="shared" si="4" ref="G4:G15">(F4/B4)/(F$15/B$15)</f>
        <v>0.605469323544835</v>
      </c>
      <c r="H4" s="29"/>
      <c r="I4" s="13"/>
      <c r="J4" s="34">
        <f t="shared" si="0"/>
        <v>1.1184297619047618</v>
      </c>
      <c r="K4" s="8"/>
      <c r="L4" s="8"/>
      <c r="M4" s="8"/>
      <c r="N4" s="36">
        <f aca="true" t="shared" si="5" ref="N4:N14">SUM(K$15*J4+L$15*G4+M$15*E4)</f>
        <v>0.997468954159898</v>
      </c>
      <c r="O4" s="134">
        <v>102.73</v>
      </c>
      <c r="P4" s="134">
        <v>4313.79</v>
      </c>
      <c r="Q4" s="134">
        <v>4.44</v>
      </c>
      <c r="R4" s="34">
        <f aca="true" t="shared" si="6" ref="R4:R15">SUM(0.2*O4/O$15+0.65*P4/P$15+0.15*Q4/Q$15)</f>
        <v>1.154349227714031</v>
      </c>
      <c r="S4" s="11">
        <f aca="true" t="shared" si="7" ref="S4:S15">SUM(C4/B4)</f>
        <v>1</v>
      </c>
      <c r="T4" s="34">
        <f aca="true" t="shared" si="8" ref="T4:T15">SUM((1+0.25*S4)/(1+0.25*S$15))</f>
        <v>1</v>
      </c>
      <c r="U4" s="13"/>
      <c r="V4" s="13"/>
      <c r="W4" s="34">
        <f aca="true" t="shared" si="9" ref="W4:W15">SUM(U$15*T4+V$15*R4+1-U$15-V$15)</f>
        <v>1.0098900359452425</v>
      </c>
      <c r="X4" s="13">
        <f aca="true" t="shared" si="10" ref="X4:X14">SUM(W4*N4*B4)</f>
        <v>1057.700655869343</v>
      </c>
      <c r="Y4" s="34">
        <f aca="true" t="shared" si="11" ref="Y4:Y15">SUM(W4*N4*B$15/X$15)</f>
        <v>1.0119239210116386</v>
      </c>
      <c r="Z4" s="45">
        <f>SUM(НПn2014!N4)</f>
        <v>1978.057095805003</v>
      </c>
      <c r="AA4" s="46">
        <f aca="true" t="shared" si="12" ref="AA4:AA14">(Z4/B4)/(Z$15/B$15)</f>
        <v>1.6434061188543267</v>
      </c>
      <c r="AB4" s="46">
        <f aca="true" t="shared" si="13" ref="AB4:AB14">SUM(AA4/Y4)</f>
        <v>1.6240411801031287</v>
      </c>
      <c r="AC4" s="44">
        <f>SUM(ПНД!K6)</f>
        <v>3384</v>
      </c>
      <c r="AD4" s="69"/>
      <c r="AE4" s="45">
        <f t="shared" si="1"/>
        <v>13.703368940016434</v>
      </c>
      <c r="AF4" s="44">
        <f aca="true" t="shared" si="14" ref="AF4:AF14">SUM(AC$15/B$15)*(AE$15-AB4)*Y4*B4</f>
        <v>17135.232826799023</v>
      </c>
      <c r="AG4" s="52">
        <f aca="true" t="shared" si="15" ref="AG4:AG14">SUM(AD$15*AF4/AF$15)</f>
        <v>17135.232826799027</v>
      </c>
      <c r="AH4" s="56"/>
      <c r="AI4" s="52">
        <f aca="true" t="shared" si="16" ref="AI4:AI14">SUM(AH$15*B4/B$15)</f>
        <v>1671.038341286819</v>
      </c>
      <c r="AJ4" s="150">
        <f t="shared" si="2"/>
        <v>18806.271168085845</v>
      </c>
    </row>
    <row r="5" spans="1:36" s="30" customFormat="1" ht="18.75">
      <c r="A5" s="28" t="s">
        <v>3</v>
      </c>
      <c r="B5" s="133">
        <v>1273</v>
      </c>
      <c r="C5" s="133">
        <v>1273</v>
      </c>
      <c r="D5" s="133">
        <v>592</v>
      </c>
      <c r="E5" s="34">
        <f t="shared" si="3"/>
        <v>1.196112972273007</v>
      </c>
      <c r="F5" s="134">
        <v>26.7</v>
      </c>
      <c r="G5" s="34">
        <f t="shared" si="4"/>
        <v>1.002565279198356</v>
      </c>
      <c r="H5" s="29"/>
      <c r="I5" s="13"/>
      <c r="J5" s="34">
        <f t="shared" si="0"/>
        <v>1.0512617831893165</v>
      </c>
      <c r="K5" s="8"/>
      <c r="L5" s="8"/>
      <c r="M5" s="8"/>
      <c r="N5" s="36">
        <f t="shared" si="5"/>
        <v>1.1004161600655138</v>
      </c>
      <c r="O5" s="134">
        <v>102.73</v>
      </c>
      <c r="P5" s="134">
        <v>2622.22</v>
      </c>
      <c r="Q5" s="134">
        <v>4.44</v>
      </c>
      <c r="R5" s="34">
        <f t="shared" si="6"/>
        <v>0.8362185781310363</v>
      </c>
      <c r="S5" s="11">
        <f t="shared" si="7"/>
        <v>1</v>
      </c>
      <c r="T5" s="34">
        <f t="shared" si="8"/>
        <v>1</v>
      </c>
      <c r="U5" s="13"/>
      <c r="V5" s="13"/>
      <c r="W5" s="34">
        <f t="shared" si="9"/>
        <v>0.9895055895423843</v>
      </c>
      <c r="X5" s="13">
        <f t="shared" si="10"/>
        <v>1386.1288891572658</v>
      </c>
      <c r="Y5" s="34">
        <f t="shared" si="11"/>
        <v>1.0938294175550811</v>
      </c>
      <c r="Z5" s="45">
        <f>SUM(НПn2014!N5)</f>
        <v>2018.1082976418363</v>
      </c>
      <c r="AA5" s="46">
        <f t="shared" si="12"/>
        <v>1.3829657985882995</v>
      </c>
      <c r="AB5" s="46">
        <f t="shared" si="13"/>
        <v>1.2643340692733367</v>
      </c>
      <c r="AC5" s="44">
        <f>SUM(ПНД!K7)</f>
        <v>2493</v>
      </c>
      <c r="AD5" s="69"/>
      <c r="AE5" s="45">
        <f t="shared" si="1"/>
        <v>13.703368940016434</v>
      </c>
      <c r="AF5" s="44">
        <f t="shared" si="14"/>
        <v>23124.628843681527</v>
      </c>
      <c r="AG5" s="52">
        <f t="shared" si="15"/>
        <v>23124.62884368153</v>
      </c>
      <c r="AH5" s="56"/>
      <c r="AI5" s="52">
        <f t="shared" si="16"/>
        <v>2025.9350556744007</v>
      </c>
      <c r="AJ5" s="150">
        <f t="shared" si="2"/>
        <v>25150.56389935593</v>
      </c>
    </row>
    <row r="6" spans="1:36" s="30" customFormat="1" ht="18.75">
      <c r="A6" s="28" t="s">
        <v>4</v>
      </c>
      <c r="B6" s="133">
        <v>805</v>
      </c>
      <c r="C6" s="133">
        <v>805</v>
      </c>
      <c r="D6" s="133">
        <v>52</v>
      </c>
      <c r="E6" s="34">
        <f t="shared" si="3"/>
        <v>0.8691739658927493</v>
      </c>
      <c r="F6" s="134">
        <v>17.4</v>
      </c>
      <c r="G6" s="34">
        <f t="shared" si="4"/>
        <v>1.0331970803870671</v>
      </c>
      <c r="H6" s="29"/>
      <c r="I6" s="13"/>
      <c r="J6" s="34">
        <f t="shared" si="0"/>
        <v>1.2351257763975156</v>
      </c>
      <c r="K6" s="8"/>
      <c r="L6" s="8"/>
      <c r="M6" s="8"/>
      <c r="N6" s="36">
        <f t="shared" si="5"/>
        <v>1.101169126081115</v>
      </c>
      <c r="O6" s="134">
        <v>188.31</v>
      </c>
      <c r="P6" s="134">
        <v>3423.89</v>
      </c>
      <c r="Q6" s="134">
        <v>4.44</v>
      </c>
      <c r="R6" s="34">
        <f t="shared" si="6"/>
        <v>1.147819181827531</v>
      </c>
      <c r="S6" s="11">
        <f t="shared" si="7"/>
        <v>1</v>
      </c>
      <c r="T6" s="34">
        <f t="shared" si="8"/>
        <v>1</v>
      </c>
      <c r="U6" s="13"/>
      <c r="V6" s="13"/>
      <c r="W6" s="34">
        <f t="shared" si="9"/>
        <v>1.0094716186360142</v>
      </c>
      <c r="X6" s="13">
        <f t="shared" si="10"/>
        <v>894.8371789781721</v>
      </c>
      <c r="Y6" s="34">
        <f t="shared" si="11"/>
        <v>1.1166640314581826</v>
      </c>
      <c r="Z6" s="45">
        <f>SUM(НПn2014!N6)</f>
        <v>477.5194012756893</v>
      </c>
      <c r="AA6" s="46">
        <f t="shared" si="12"/>
        <v>0.5174763622909778</v>
      </c>
      <c r="AB6" s="46">
        <f t="shared" si="13"/>
        <v>0.4634127613255684</v>
      </c>
      <c r="AC6" s="44">
        <f>SUM(ПНД!K13)</f>
        <v>572</v>
      </c>
      <c r="AD6" s="69"/>
      <c r="AE6" s="45">
        <f t="shared" si="1"/>
        <v>13.703368940016434</v>
      </c>
      <c r="AF6" s="44">
        <f t="shared" si="14"/>
        <v>15889.675873374574</v>
      </c>
      <c r="AG6" s="52">
        <f t="shared" si="15"/>
        <v>15889.675873374577</v>
      </c>
      <c r="AH6" s="56"/>
      <c r="AI6" s="52">
        <f t="shared" si="16"/>
        <v>1281.1293949865615</v>
      </c>
      <c r="AJ6" s="150">
        <f t="shared" si="2"/>
        <v>17170.80526836114</v>
      </c>
    </row>
    <row r="7" spans="1:36" s="30" customFormat="1" ht="18.75">
      <c r="A7" s="28" t="s">
        <v>5</v>
      </c>
      <c r="B7" s="133">
        <v>1068</v>
      </c>
      <c r="C7" s="133">
        <v>1068</v>
      </c>
      <c r="D7" s="133">
        <v>295</v>
      </c>
      <c r="E7" s="34">
        <f t="shared" si="3"/>
        <v>1.0419487815555233</v>
      </c>
      <c r="F7" s="134">
        <v>22.5</v>
      </c>
      <c r="G7" s="34">
        <f t="shared" si="4"/>
        <v>1.0070268908751319</v>
      </c>
      <c r="H7" s="29"/>
      <c r="I7" s="13"/>
      <c r="J7" s="34">
        <f t="shared" si="0"/>
        <v>1.1119674625468163</v>
      </c>
      <c r="K7" s="8"/>
      <c r="L7" s="8"/>
      <c r="M7" s="8"/>
      <c r="N7" s="36">
        <f t="shared" si="5"/>
        <v>1.0843429897733894</v>
      </c>
      <c r="O7" s="134">
        <v>188.31</v>
      </c>
      <c r="P7" s="134">
        <v>4297.45</v>
      </c>
      <c r="Q7" s="134">
        <v>4.44</v>
      </c>
      <c r="R7" s="34">
        <f t="shared" si="6"/>
        <v>1.3121081029184234</v>
      </c>
      <c r="S7" s="11">
        <f t="shared" si="7"/>
        <v>1</v>
      </c>
      <c r="T7" s="34">
        <f t="shared" si="8"/>
        <v>1</v>
      </c>
      <c r="U7" s="13"/>
      <c r="V7" s="13"/>
      <c r="W7" s="34">
        <f t="shared" si="9"/>
        <v>1.0199985474652566</v>
      </c>
      <c r="X7" s="13">
        <f t="shared" si="10"/>
        <v>1181.2381971905543</v>
      </c>
      <c r="Y7" s="34">
        <f t="shared" si="11"/>
        <v>1.1110679427104966</v>
      </c>
      <c r="Z7" s="45">
        <f>SUM(НПn2014!N7)</f>
        <v>787.0642110023666</v>
      </c>
      <c r="AA7" s="46">
        <f t="shared" si="12"/>
        <v>0.6428864727216029</v>
      </c>
      <c r="AB7" s="46">
        <f t="shared" si="13"/>
        <v>0.5786203057512888</v>
      </c>
      <c r="AC7" s="44">
        <f>SUM(ПНД!K9)</f>
        <v>1200</v>
      </c>
      <c r="AD7" s="69"/>
      <c r="AE7" s="45">
        <f t="shared" si="1"/>
        <v>13.703368940016434</v>
      </c>
      <c r="AF7" s="44">
        <f t="shared" si="14"/>
        <v>20792.798613157647</v>
      </c>
      <c r="AG7" s="52">
        <f t="shared" si="15"/>
        <v>20792.79861315765</v>
      </c>
      <c r="AH7" s="56"/>
      <c r="AI7" s="52">
        <f t="shared" si="16"/>
        <v>1699.684712851736</v>
      </c>
      <c r="AJ7" s="150">
        <f t="shared" si="2"/>
        <v>22492.483326009387</v>
      </c>
    </row>
    <row r="8" spans="1:36" s="30" customFormat="1" ht="18.75">
      <c r="A8" s="28" t="s">
        <v>6</v>
      </c>
      <c r="B8" s="133">
        <v>1320</v>
      </c>
      <c r="C8" s="133">
        <v>1320</v>
      </c>
      <c r="D8" s="133">
        <v>470</v>
      </c>
      <c r="E8" s="34">
        <f t="shared" si="3"/>
        <v>1.1071357326059519</v>
      </c>
      <c r="F8" s="134">
        <v>25.7</v>
      </c>
      <c r="G8" s="34">
        <f t="shared" si="4"/>
        <v>0.9306555989893694</v>
      </c>
      <c r="H8" s="29"/>
      <c r="I8" s="13"/>
      <c r="J8" s="34">
        <f t="shared" si="0"/>
        <v>1.040000946969697</v>
      </c>
      <c r="K8" s="8"/>
      <c r="L8" s="8"/>
      <c r="M8" s="8"/>
      <c r="N8" s="36">
        <f t="shared" si="5"/>
        <v>1.0601729295182456</v>
      </c>
      <c r="O8" s="134">
        <v>102.73</v>
      </c>
      <c r="P8" s="134">
        <v>4053.83</v>
      </c>
      <c r="Q8" s="134">
        <v>4.44</v>
      </c>
      <c r="R8" s="34">
        <f t="shared" si="6"/>
        <v>1.105458999307524</v>
      </c>
      <c r="S8" s="11">
        <f t="shared" si="7"/>
        <v>1</v>
      </c>
      <c r="T8" s="34">
        <f t="shared" si="8"/>
        <v>1</v>
      </c>
      <c r="U8" s="13"/>
      <c r="V8" s="13"/>
      <c r="W8" s="34">
        <f t="shared" si="9"/>
        <v>1.0067573599774218</v>
      </c>
      <c r="X8" s="13">
        <f t="shared" si="10"/>
        <v>1408.88470752654</v>
      </c>
      <c r="Y8" s="34">
        <f t="shared" si="11"/>
        <v>1.0722002688176562</v>
      </c>
      <c r="Z8" s="45">
        <f>SUM(НПn2014!N8)</f>
        <v>1598.906565569128</v>
      </c>
      <c r="AA8" s="46">
        <f t="shared" si="12"/>
        <v>1.056682536911478</v>
      </c>
      <c r="AB8" s="46">
        <f t="shared" si="13"/>
        <v>0.9855272075959374</v>
      </c>
      <c r="AC8" s="44">
        <f>SUM(ПНД!K14)</f>
        <v>1595</v>
      </c>
      <c r="AD8" s="69"/>
      <c r="AE8" s="45">
        <f t="shared" si="1"/>
        <v>13.703368940016434</v>
      </c>
      <c r="AF8" s="44">
        <f t="shared" si="14"/>
        <v>24031.082914880182</v>
      </c>
      <c r="AG8" s="52">
        <f t="shared" si="15"/>
        <v>24031.082914880186</v>
      </c>
      <c r="AH8" s="56"/>
      <c r="AI8" s="52">
        <f t="shared" si="16"/>
        <v>2100.7339147605726</v>
      </c>
      <c r="AJ8" s="150">
        <f t="shared" si="2"/>
        <v>26131.81682964076</v>
      </c>
    </row>
    <row r="9" spans="1:36" s="30" customFormat="1" ht="18.75">
      <c r="A9" s="28" t="s">
        <v>7</v>
      </c>
      <c r="B9" s="133">
        <v>3056</v>
      </c>
      <c r="C9" s="133">
        <v>3056</v>
      </c>
      <c r="D9" s="133">
        <v>949</v>
      </c>
      <c r="E9" s="34">
        <f t="shared" si="3"/>
        <v>1.0699683677488787</v>
      </c>
      <c r="F9" s="134">
        <v>65.7</v>
      </c>
      <c r="G9" s="34">
        <f t="shared" si="4"/>
        <v>1.0276419439815287</v>
      </c>
      <c r="H9" s="29"/>
      <c r="I9" s="13"/>
      <c r="J9" s="34">
        <f t="shared" si="0"/>
        <v>0.8667412467277487</v>
      </c>
      <c r="K9" s="8"/>
      <c r="L9" s="8"/>
      <c r="M9" s="8"/>
      <c r="N9" s="36">
        <f t="shared" si="5"/>
        <v>0.94259905513623</v>
      </c>
      <c r="O9" s="134">
        <v>102.73</v>
      </c>
      <c r="P9" s="134">
        <v>3075.41</v>
      </c>
      <c r="Q9" s="134">
        <v>4.44</v>
      </c>
      <c r="R9" s="34">
        <f t="shared" si="6"/>
        <v>0.9214492390463501</v>
      </c>
      <c r="S9" s="11">
        <f t="shared" si="7"/>
        <v>1</v>
      </c>
      <c r="T9" s="34">
        <f t="shared" si="8"/>
        <v>1</v>
      </c>
      <c r="U9" s="13"/>
      <c r="V9" s="13"/>
      <c r="W9" s="34">
        <f t="shared" si="9"/>
        <v>0.9949668044287392</v>
      </c>
      <c r="X9" s="13">
        <f t="shared" si="10"/>
        <v>2866.0841763451317</v>
      </c>
      <c r="Y9" s="34">
        <f t="shared" si="11"/>
        <v>0.9421281477029252</v>
      </c>
      <c r="Z9" s="45">
        <f>SUM(НПn2014!N9)</f>
        <v>2112.050739935602</v>
      </c>
      <c r="AA9" s="46">
        <f t="shared" si="12"/>
        <v>0.602901512129211</v>
      </c>
      <c r="AB9" s="46">
        <f t="shared" si="13"/>
        <v>0.6399357811346486</v>
      </c>
      <c r="AC9" s="44">
        <f>SUM(ПНД!K12)</f>
        <v>2861</v>
      </c>
      <c r="AD9" s="69"/>
      <c r="AE9" s="45">
        <f t="shared" si="1"/>
        <v>13.703368940016434</v>
      </c>
      <c r="AF9" s="44">
        <f t="shared" si="14"/>
        <v>50214.68463141266</v>
      </c>
      <c r="AG9" s="52">
        <f t="shared" si="15"/>
        <v>50214.684631412674</v>
      </c>
      <c r="AH9" s="56"/>
      <c r="AI9" s="52">
        <f t="shared" si="16"/>
        <v>4863.517305688114</v>
      </c>
      <c r="AJ9" s="150">
        <f t="shared" si="2"/>
        <v>55078.20193710079</v>
      </c>
    </row>
    <row r="10" spans="1:36" s="30" customFormat="1" ht="18.75">
      <c r="A10" s="28" t="s">
        <v>8</v>
      </c>
      <c r="B10" s="133">
        <v>917</v>
      </c>
      <c r="C10" s="133">
        <v>917</v>
      </c>
      <c r="D10" s="133">
        <v>257</v>
      </c>
      <c r="E10" s="34">
        <f t="shared" si="3"/>
        <v>1.0452508496279413</v>
      </c>
      <c r="F10" s="134">
        <v>19.3</v>
      </c>
      <c r="G10" s="34">
        <f t="shared" si="4"/>
        <v>1.0060458541366568</v>
      </c>
      <c r="H10" s="29"/>
      <c r="I10" s="13"/>
      <c r="J10" s="34">
        <f t="shared" si="0"/>
        <v>1.174041712104689</v>
      </c>
      <c r="K10" s="8"/>
      <c r="L10" s="8"/>
      <c r="M10" s="8"/>
      <c r="N10" s="36">
        <f t="shared" si="5"/>
        <v>1.123982618982617</v>
      </c>
      <c r="O10" s="134">
        <v>102.73</v>
      </c>
      <c r="P10" s="134">
        <v>3582.3</v>
      </c>
      <c r="Q10" s="134">
        <v>4.44</v>
      </c>
      <c r="R10" s="34">
        <f t="shared" si="6"/>
        <v>1.0167791662542838</v>
      </c>
      <c r="S10" s="11">
        <f t="shared" si="7"/>
        <v>1</v>
      </c>
      <c r="T10" s="34">
        <f t="shared" si="8"/>
        <v>1</v>
      </c>
      <c r="U10" s="13"/>
      <c r="V10" s="13"/>
      <c r="W10" s="34">
        <f t="shared" si="9"/>
        <v>1.0010751369465452</v>
      </c>
      <c r="X10" s="13">
        <f t="shared" si="10"/>
        <v>1031.8001967230043</v>
      </c>
      <c r="Y10" s="34">
        <f t="shared" si="11"/>
        <v>1.1303180384892035</v>
      </c>
      <c r="Z10" s="45">
        <f>SUM(НПn2014!N10)</f>
        <v>442.60042873092897</v>
      </c>
      <c r="AA10" s="46">
        <f t="shared" si="12"/>
        <v>0.4210540704328889</v>
      </c>
      <c r="AB10" s="46">
        <f t="shared" si="13"/>
        <v>0.3725093788609043</v>
      </c>
      <c r="AC10" s="44">
        <f>SUM(ПНД!K10)</f>
        <v>611</v>
      </c>
      <c r="AD10" s="69"/>
      <c r="AE10" s="45">
        <f t="shared" si="1"/>
        <v>13.703368940016434</v>
      </c>
      <c r="AF10" s="44">
        <f t="shared" si="14"/>
        <v>18447.530207735952</v>
      </c>
      <c r="AG10" s="52">
        <f t="shared" si="15"/>
        <v>18447.530207735956</v>
      </c>
      <c r="AH10" s="56"/>
      <c r="AI10" s="52">
        <f t="shared" si="16"/>
        <v>1459.373484723822</v>
      </c>
      <c r="AJ10" s="150">
        <f t="shared" si="2"/>
        <v>19906.90369245978</v>
      </c>
    </row>
    <row r="11" spans="1:36" s="30" customFormat="1" ht="18.75">
      <c r="A11" s="28" t="s">
        <v>9</v>
      </c>
      <c r="B11" s="133">
        <v>1092</v>
      </c>
      <c r="C11" s="133">
        <v>1092</v>
      </c>
      <c r="D11" s="133">
        <v>262</v>
      </c>
      <c r="E11" s="46">
        <f t="shared" si="3"/>
        <v>1.0123199460637884</v>
      </c>
      <c r="F11" s="134">
        <v>16.7</v>
      </c>
      <c r="G11" s="34">
        <f t="shared" si="4"/>
        <v>0.7310105337766587</v>
      </c>
      <c r="H11" s="29"/>
      <c r="I11" s="13"/>
      <c r="J11" s="34">
        <f t="shared" si="0"/>
        <v>1.1036824633699633</v>
      </c>
      <c r="K11" s="8"/>
      <c r="L11" s="8"/>
      <c r="M11" s="8"/>
      <c r="N11" s="36">
        <f t="shared" si="5"/>
        <v>1.0605472022772116</v>
      </c>
      <c r="O11" s="134">
        <v>102.73</v>
      </c>
      <c r="P11" s="134">
        <v>3556.63</v>
      </c>
      <c r="Q11" s="134">
        <v>4.44</v>
      </c>
      <c r="R11" s="34">
        <f t="shared" si="6"/>
        <v>1.0119514536708285</v>
      </c>
      <c r="S11" s="11">
        <f t="shared" si="7"/>
        <v>1</v>
      </c>
      <c r="T11" s="34">
        <f t="shared" si="8"/>
        <v>1</v>
      </c>
      <c r="U11" s="13"/>
      <c r="V11" s="13"/>
      <c r="W11" s="34">
        <f t="shared" si="9"/>
        <v>1.0007657978478608</v>
      </c>
      <c r="X11" s="13">
        <f t="shared" si="10"/>
        <v>1159.0044288101592</v>
      </c>
      <c r="Y11" s="34">
        <f t="shared" si="11"/>
        <v>1.0661954993191791</v>
      </c>
      <c r="Z11" s="45">
        <f>SUM(НПn2014!N11)</f>
        <v>496.4900848222631</v>
      </c>
      <c r="AA11" s="46">
        <f t="shared" si="12"/>
        <v>0.3966279515650727</v>
      </c>
      <c r="AB11" s="46">
        <f t="shared" si="13"/>
        <v>0.3720030255411321</v>
      </c>
      <c r="AC11" s="44">
        <f>SUM(ПНД!K15)</f>
        <v>778</v>
      </c>
      <c r="AD11" s="69"/>
      <c r="AE11" s="45">
        <f t="shared" si="1"/>
        <v>13.703368940016434</v>
      </c>
      <c r="AF11" s="44">
        <f t="shared" si="14"/>
        <v>20722.59861620279</v>
      </c>
      <c r="AG11" s="52">
        <f t="shared" si="15"/>
        <v>20722.598616202795</v>
      </c>
      <c r="AH11" s="56"/>
      <c r="AI11" s="52">
        <f t="shared" si="16"/>
        <v>1737.879874938292</v>
      </c>
      <c r="AJ11" s="150">
        <f t="shared" si="2"/>
        <v>22460.478491141086</v>
      </c>
    </row>
    <row r="12" spans="1:36" s="30" customFormat="1" ht="18.75">
      <c r="A12" s="28" t="s">
        <v>10</v>
      </c>
      <c r="B12" s="133">
        <v>1347</v>
      </c>
      <c r="C12" s="133">
        <v>1347</v>
      </c>
      <c r="D12" s="133">
        <v>416</v>
      </c>
      <c r="E12" s="46">
        <f t="shared" si="3"/>
        <v>1.068578629726007</v>
      </c>
      <c r="F12" s="134">
        <v>31.1</v>
      </c>
      <c r="G12" s="34">
        <f t="shared" si="4"/>
        <v>1.1036277084892958</v>
      </c>
      <c r="H12" s="29"/>
      <c r="I12" s="13"/>
      <c r="J12" s="34">
        <f t="shared" si="0"/>
        <v>1.0338873422420192</v>
      </c>
      <c r="K12" s="8"/>
      <c r="L12" s="8"/>
      <c r="M12" s="8"/>
      <c r="N12" s="36">
        <f t="shared" si="5"/>
        <v>1.048107835213711</v>
      </c>
      <c r="O12" s="134">
        <v>102.73</v>
      </c>
      <c r="P12" s="134">
        <v>3582.3</v>
      </c>
      <c r="Q12" s="134">
        <v>4.44</v>
      </c>
      <c r="R12" s="34">
        <f t="shared" si="6"/>
        <v>1.0167791662542838</v>
      </c>
      <c r="S12" s="11">
        <f t="shared" si="7"/>
        <v>1</v>
      </c>
      <c r="T12" s="34">
        <f t="shared" si="8"/>
        <v>1</v>
      </c>
      <c r="U12" s="13"/>
      <c r="V12" s="13"/>
      <c r="W12" s="34">
        <f t="shared" si="9"/>
        <v>1.0010751369465452</v>
      </c>
      <c r="X12" s="13">
        <f t="shared" si="10"/>
        <v>1413.3191337222581</v>
      </c>
      <c r="Y12" s="34">
        <f t="shared" si="11"/>
        <v>1.0540155803265576</v>
      </c>
      <c r="Z12" s="45">
        <f>SUM(НПn2014!N12)</f>
        <v>1210.4777762004464</v>
      </c>
      <c r="AA12" s="46">
        <f t="shared" si="12"/>
        <v>0.7839432051788451</v>
      </c>
      <c r="AB12" s="46">
        <f t="shared" si="13"/>
        <v>0.7437681375980817</v>
      </c>
      <c r="AC12" s="44">
        <f>SUM(ПНД!K11)</f>
        <v>1466</v>
      </c>
      <c r="AD12" s="69"/>
      <c r="AE12" s="45">
        <f t="shared" si="1"/>
        <v>13.703368940016434</v>
      </c>
      <c r="AF12" s="44">
        <f t="shared" si="14"/>
        <v>24564.975381369433</v>
      </c>
      <c r="AG12" s="52">
        <f t="shared" si="15"/>
        <v>24564.975381369437</v>
      </c>
      <c r="AH12" s="56"/>
      <c r="AI12" s="52">
        <f t="shared" si="16"/>
        <v>2143.703472107948</v>
      </c>
      <c r="AJ12" s="150">
        <f t="shared" si="2"/>
        <v>26708.678853477384</v>
      </c>
    </row>
    <row r="13" spans="1:36" s="30" customFormat="1" ht="18.75">
      <c r="A13" s="28" t="s">
        <v>11</v>
      </c>
      <c r="B13" s="133">
        <v>823</v>
      </c>
      <c r="C13" s="133">
        <v>823</v>
      </c>
      <c r="D13" s="133">
        <v>0</v>
      </c>
      <c r="E13" s="34">
        <f t="shared" si="3"/>
        <v>0.816435288849082</v>
      </c>
      <c r="F13" s="134">
        <v>12.9</v>
      </c>
      <c r="G13" s="34">
        <f t="shared" si="4"/>
        <v>0.7492377956508636</v>
      </c>
      <c r="H13" s="29"/>
      <c r="I13" s="13"/>
      <c r="J13" s="34">
        <f t="shared" si="0"/>
        <v>1.2241874240583233</v>
      </c>
      <c r="K13" s="8"/>
      <c r="L13" s="8"/>
      <c r="M13" s="8"/>
      <c r="N13" s="36">
        <f t="shared" si="5"/>
        <v>1.0674122832513573</v>
      </c>
      <c r="O13" s="134">
        <v>102.73</v>
      </c>
      <c r="P13" s="134">
        <v>4297.45</v>
      </c>
      <c r="Q13" s="134">
        <v>4.44</v>
      </c>
      <c r="R13" s="34">
        <f t="shared" si="6"/>
        <v>1.1512761921233157</v>
      </c>
      <c r="S13" s="11">
        <f t="shared" si="7"/>
        <v>1</v>
      </c>
      <c r="T13" s="34">
        <f t="shared" si="8"/>
        <v>1</v>
      </c>
      <c r="U13" s="13"/>
      <c r="V13" s="13"/>
      <c r="W13" s="34">
        <f t="shared" si="9"/>
        <v>1.0096931290160451</v>
      </c>
      <c r="X13" s="13">
        <f t="shared" si="10"/>
        <v>886.9955320901823</v>
      </c>
      <c r="Y13" s="34">
        <f t="shared" si="11"/>
        <v>1.082669705485774</v>
      </c>
      <c r="Z13" s="45">
        <f>SUM(НПn2014!N13)</f>
        <v>478.15955290277486</v>
      </c>
      <c r="AA13" s="46">
        <f t="shared" si="12"/>
        <v>0.506837076359756</v>
      </c>
      <c r="AB13" s="46">
        <f t="shared" si="13"/>
        <v>0.46813637972104105</v>
      </c>
      <c r="AC13" s="44">
        <f>SUM(ПНД!K8)</f>
        <v>924</v>
      </c>
      <c r="AD13" s="69"/>
      <c r="AE13" s="45">
        <f t="shared" si="1"/>
        <v>13.703368940016434</v>
      </c>
      <c r="AF13" s="44">
        <f t="shared" si="14"/>
        <v>15744.81201268569</v>
      </c>
      <c r="AG13" s="52">
        <f t="shared" si="15"/>
        <v>15744.812012685694</v>
      </c>
      <c r="AH13" s="56"/>
      <c r="AI13" s="52">
        <f t="shared" si="16"/>
        <v>1309.7757665514782</v>
      </c>
      <c r="AJ13" s="150">
        <f t="shared" si="2"/>
        <v>17054.587779237172</v>
      </c>
    </row>
    <row r="14" spans="1:36" s="30" customFormat="1" ht="18.75">
      <c r="A14" s="28" t="s">
        <v>12</v>
      </c>
      <c r="B14" s="133">
        <v>293</v>
      </c>
      <c r="C14" s="133">
        <v>293</v>
      </c>
      <c r="D14" s="133">
        <v>293</v>
      </c>
      <c r="E14" s="34">
        <f t="shared" si="3"/>
        <v>1.632870577698164</v>
      </c>
      <c r="F14" s="134">
        <v>5.3</v>
      </c>
      <c r="G14" s="34">
        <f t="shared" si="4"/>
        <v>0.8646454324019107</v>
      </c>
      <c r="H14" s="29"/>
      <c r="I14" s="13"/>
      <c r="J14" s="34">
        <f t="shared" si="0"/>
        <v>2.109065699658703</v>
      </c>
      <c r="K14" s="8"/>
      <c r="L14" s="8"/>
      <c r="M14" s="8"/>
      <c r="N14" s="36">
        <f t="shared" si="5"/>
        <v>1.905230822248472</v>
      </c>
      <c r="O14" s="134">
        <v>0</v>
      </c>
      <c r="P14" s="134">
        <v>2927.97</v>
      </c>
      <c r="Q14" s="134">
        <v>4.44</v>
      </c>
      <c r="R14" s="34">
        <f t="shared" si="6"/>
        <v>0.7006582630689367</v>
      </c>
      <c r="S14" s="11">
        <f t="shared" si="7"/>
        <v>1</v>
      </c>
      <c r="T14" s="34">
        <f t="shared" si="8"/>
        <v>1</v>
      </c>
      <c r="U14" s="13"/>
      <c r="V14" s="13"/>
      <c r="W14" s="34">
        <f t="shared" si="9"/>
        <v>0.9808194664657173</v>
      </c>
      <c r="X14" s="13">
        <f t="shared" si="10"/>
        <v>547.5254312215334</v>
      </c>
      <c r="Y14" s="34">
        <f t="shared" si="11"/>
        <v>1.8772022381444657</v>
      </c>
      <c r="Z14" s="45">
        <f>SUM(НПn2014!N14)</f>
        <v>203.0772108115127</v>
      </c>
      <c r="AA14" s="46">
        <f t="shared" si="12"/>
        <v>0.604628960388781</v>
      </c>
      <c r="AB14" s="46">
        <f t="shared" si="13"/>
        <v>0.3220904749114464</v>
      </c>
      <c r="AC14" s="44">
        <f>SUM(ПНД!K16)</f>
        <v>318</v>
      </c>
      <c r="AD14" s="69"/>
      <c r="AE14" s="45">
        <f t="shared" si="1"/>
        <v>13.703368940016434</v>
      </c>
      <c r="AF14" s="44">
        <f t="shared" si="14"/>
        <v>9826.21754841472</v>
      </c>
      <c r="AG14" s="52">
        <f t="shared" si="15"/>
        <v>9826.217548414721</v>
      </c>
      <c r="AH14" s="56"/>
      <c r="AI14" s="52">
        <f t="shared" si="16"/>
        <v>466.2992704733695</v>
      </c>
      <c r="AJ14" s="150">
        <f t="shared" si="2"/>
        <v>10292.51681888809</v>
      </c>
    </row>
    <row r="15" spans="1:36" s="32" customFormat="1" ht="18.75">
      <c r="A15" s="28" t="s">
        <v>13</v>
      </c>
      <c r="B15" s="31">
        <f>SUM(B3:B14)</f>
        <v>18231</v>
      </c>
      <c r="C15" s="31">
        <f>SUM(C3:C14)</f>
        <v>18231</v>
      </c>
      <c r="D15" s="31">
        <f>SUM(D3:D14)</f>
        <v>4099</v>
      </c>
      <c r="E15" s="48">
        <f t="shared" si="3"/>
        <v>1</v>
      </c>
      <c r="F15" s="10">
        <f>SUM(F3:F14)</f>
        <v>381.4</v>
      </c>
      <c r="G15" s="48">
        <f t="shared" si="4"/>
        <v>1</v>
      </c>
      <c r="H15" s="31">
        <f>B15/12</f>
        <v>1519.25</v>
      </c>
      <c r="I15" s="149">
        <v>0.735</v>
      </c>
      <c r="J15" s="48">
        <f t="shared" si="0"/>
        <v>0.7570833333333333</v>
      </c>
      <c r="K15" s="10">
        <f>SUM('а1 а2 а3'!O17)</f>
        <v>0.6204700182482275</v>
      </c>
      <c r="L15" s="10">
        <f>SUM('а1 а2 а3'!O24)</f>
        <v>0.030075234589405343</v>
      </c>
      <c r="M15" s="10">
        <f>SUM('а1 а2 а3'!O29)</f>
        <v>0.34945474716236724</v>
      </c>
      <c r="N15" s="36">
        <f>SUM(K$15*J15+L$15*G15+M$15*E15)</f>
        <v>0.8492774914005348</v>
      </c>
      <c r="O15" s="10">
        <f>SUM(O3:O14)/12</f>
        <v>106.42166666666668</v>
      </c>
      <c r="P15" s="10">
        <f>SUM(P3:P14)/12</f>
        <v>3456.191666666666</v>
      </c>
      <c r="Q15" s="10">
        <f>SUM(Q3:Q14)/12</f>
        <v>4.4399999999999995</v>
      </c>
      <c r="R15" s="48">
        <f t="shared" si="6"/>
        <v>1</v>
      </c>
      <c r="S15" s="9">
        <f t="shared" si="7"/>
        <v>1</v>
      </c>
      <c r="T15" s="48">
        <f t="shared" si="8"/>
        <v>1</v>
      </c>
      <c r="U15" s="10">
        <f>SUM('q1q2'!O26)</f>
        <v>0.5492855522074679</v>
      </c>
      <c r="V15" s="10">
        <f>SUM('q1q2'!O27)</f>
        <v>0.06407570735349853</v>
      </c>
      <c r="W15" s="48">
        <f t="shared" si="9"/>
        <v>0.9999999999999998</v>
      </c>
      <c r="X15" s="14">
        <f>SUM(X3:X14)</f>
        <v>18148.30641557142</v>
      </c>
      <c r="Y15" s="48">
        <f t="shared" si="11"/>
        <v>0.8531472629555357</v>
      </c>
      <c r="Z15" s="49">
        <f>SUM(Z3:Z14)</f>
        <v>20898.500000000004</v>
      </c>
      <c r="AA15" s="73"/>
      <c r="AB15" s="50"/>
      <c r="AC15" s="47">
        <f>SUM(AC3:AC14)</f>
        <v>24340</v>
      </c>
      <c r="AD15" s="135">
        <v>309200</v>
      </c>
      <c r="AE15" s="49">
        <f t="shared" si="1"/>
        <v>13.703368940016434</v>
      </c>
      <c r="AF15" s="47">
        <f>SUM(AF3:AF14)</f>
        <v>309199.99999999994</v>
      </c>
      <c r="AG15" s="53">
        <f>SUM(AG3:AG14)</f>
        <v>309200</v>
      </c>
      <c r="AH15" s="72">
        <v>29014</v>
      </c>
      <c r="AI15" s="53">
        <f>SUM(AI3:AI14)</f>
        <v>29014</v>
      </c>
      <c r="AJ15" s="151">
        <f>SUM(AJ3:AJ14)</f>
        <v>338214.00000000006</v>
      </c>
    </row>
    <row r="16" ht="23.25" customHeight="1"/>
    <row r="17" s="136" customFormat="1" ht="18.75"/>
    <row r="18" spans="4:32" ht="12.75" customHeight="1">
      <c r="D18" s="30"/>
      <c r="E18" s="30"/>
      <c r="F18" s="30"/>
      <c r="G18" s="30"/>
      <c r="H18" s="30"/>
      <c r="I18" s="30"/>
      <c r="J18" s="30"/>
      <c r="K18" s="30"/>
      <c r="L18" s="30"/>
      <c r="M18" s="30"/>
      <c r="W18" s="162" t="s">
        <v>179</v>
      </c>
      <c r="X18" s="162"/>
      <c r="Y18" s="162"/>
      <c r="Z18" s="162"/>
      <c r="AA18" s="162"/>
      <c r="AB18" s="162"/>
      <c r="AC18" s="162"/>
      <c r="AD18" s="162"/>
      <c r="AE18" s="162"/>
      <c r="AF18" s="162"/>
    </row>
    <row r="19" spans="4:36" s="137" customFormat="1" ht="18.75">
      <c r="D19" s="30"/>
      <c r="E19" s="30"/>
      <c r="F19" s="30"/>
      <c r="G19" s="30"/>
      <c r="H19" s="30"/>
      <c r="I19" s="30"/>
      <c r="J19" s="30"/>
      <c r="K19" s="30"/>
      <c r="L19" s="30"/>
      <c r="M19" s="30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38"/>
      <c r="AH19" s="138"/>
      <c r="AI19" s="138"/>
      <c r="AJ19" s="138"/>
    </row>
    <row r="21" spans="27:36" s="137" customFormat="1" ht="18.75">
      <c r="AA21" s="136"/>
      <c r="AB21" s="138"/>
      <c r="AC21" s="136"/>
      <c r="AD21" s="136"/>
      <c r="AE21" s="136"/>
      <c r="AF21" s="136"/>
      <c r="AG21" s="138"/>
      <c r="AH21" s="138"/>
      <c r="AI21" s="138"/>
      <c r="AJ21" s="138"/>
    </row>
  </sheetData>
  <sheetProtection/>
  <mergeCells count="2">
    <mergeCell ref="A1:AJ1"/>
    <mergeCell ref="W18:AF19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2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view="pageBreakPreview" zoomScale="110" zoomScaleNormal="80" zoomScaleSheetLayoutView="110" zoomScalePageLayoutView="0" workbookViewId="0" topLeftCell="A1">
      <pane xSplit="1" topLeftCell="Y1" activePane="topRight" state="frozen"/>
      <selection pane="topLeft" activeCell="A3" sqref="A3"/>
      <selection pane="topRight" activeCell="AD17" sqref="AD17"/>
    </sheetView>
  </sheetViews>
  <sheetFormatPr defaultColWidth="9.140625" defaultRowHeight="15"/>
  <cols>
    <col min="1" max="1" width="26.28125" style="23" customWidth="1"/>
    <col min="2" max="3" width="11.7109375" style="23" customWidth="1"/>
    <col min="4" max="4" width="11.421875" style="23" customWidth="1"/>
    <col min="5" max="6" width="13.421875" style="23" customWidth="1"/>
    <col min="7" max="7" width="12.8515625" style="22" customWidth="1"/>
    <col min="8" max="8" width="11.7109375" style="22" customWidth="1"/>
    <col min="9" max="9" width="15.28125" style="22" customWidth="1"/>
    <col min="10" max="11" width="13.57421875" style="22" customWidth="1"/>
    <col min="12" max="12" width="14.8515625" style="22" customWidth="1"/>
    <col min="13" max="14" width="13.57421875" style="22" customWidth="1"/>
    <col min="15" max="15" width="15.28125" style="6" customWidth="1"/>
    <col min="16" max="16" width="14.140625" style="6" customWidth="1"/>
    <col min="17" max="17" width="15.28125" style="6" customWidth="1"/>
    <col min="18" max="26" width="11.7109375" style="22" customWidth="1"/>
    <col min="27" max="27" width="11.7109375" style="43" customWidth="1"/>
    <col min="28" max="28" width="11.7109375" style="41" customWidth="1"/>
    <col min="29" max="29" width="11.7109375" style="43" customWidth="1"/>
    <col min="30" max="31" width="16.28125" style="43" customWidth="1"/>
    <col min="32" max="32" width="18.421875" style="43" customWidth="1"/>
    <col min="33" max="33" width="13.7109375" style="41" customWidth="1"/>
    <col min="34" max="34" width="17.7109375" style="41" customWidth="1"/>
    <col min="35" max="35" width="14.7109375" style="42" customWidth="1"/>
    <col min="36" max="36" width="14.57421875" style="42" customWidth="1"/>
    <col min="37" max="37" width="15.8515625" style="23" customWidth="1"/>
    <col min="38" max="38" width="12.7109375" style="23" customWidth="1"/>
    <col min="39" max="39" width="15.57421875" style="23" customWidth="1"/>
    <col min="40" max="16384" width="9.140625" style="23" customWidth="1"/>
  </cols>
  <sheetData>
    <row r="1" spans="1:36" ht="24.75" customHeight="1">
      <c r="A1" s="161" t="s">
        <v>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9" s="27" customFormat="1" ht="230.25" customHeight="1">
      <c r="A2" s="155" t="s">
        <v>0</v>
      </c>
      <c r="B2" s="25" t="s">
        <v>164</v>
      </c>
      <c r="C2" s="25" t="s">
        <v>165</v>
      </c>
      <c r="D2" s="25" t="s">
        <v>16</v>
      </c>
      <c r="E2" s="35" t="s">
        <v>17</v>
      </c>
      <c r="F2" s="15" t="s">
        <v>60</v>
      </c>
      <c r="G2" s="35" t="s">
        <v>18</v>
      </c>
      <c r="H2" s="15" t="s">
        <v>19</v>
      </c>
      <c r="I2" s="15" t="s">
        <v>20</v>
      </c>
      <c r="J2" s="35" t="s">
        <v>21</v>
      </c>
      <c r="K2" s="26" t="s">
        <v>22</v>
      </c>
      <c r="L2" s="26" t="s">
        <v>23</v>
      </c>
      <c r="M2" s="26" t="s">
        <v>24</v>
      </c>
      <c r="N2" s="35" t="s">
        <v>34</v>
      </c>
      <c r="O2" s="16" t="s">
        <v>25</v>
      </c>
      <c r="P2" s="16" t="s">
        <v>27</v>
      </c>
      <c r="Q2" s="16" t="s">
        <v>26</v>
      </c>
      <c r="R2" s="35" t="s">
        <v>28</v>
      </c>
      <c r="S2" s="15" t="s">
        <v>29</v>
      </c>
      <c r="T2" s="35" t="s">
        <v>30</v>
      </c>
      <c r="U2" s="15" t="s">
        <v>31</v>
      </c>
      <c r="V2" s="15" t="s">
        <v>32</v>
      </c>
      <c r="W2" s="35" t="s">
        <v>33</v>
      </c>
      <c r="X2" s="21" t="s">
        <v>35</v>
      </c>
      <c r="Y2" s="33" t="s">
        <v>51</v>
      </c>
      <c r="Z2" s="35" t="s">
        <v>48</v>
      </c>
      <c r="AA2" s="33" t="s">
        <v>49</v>
      </c>
      <c r="AB2" s="35" t="s">
        <v>52</v>
      </c>
      <c r="AC2" s="21" t="s">
        <v>53</v>
      </c>
      <c r="AD2" s="40" t="s">
        <v>50</v>
      </c>
      <c r="AE2" s="35" t="s">
        <v>54</v>
      </c>
      <c r="AF2" s="15" t="s">
        <v>55</v>
      </c>
      <c r="AG2" s="51" t="s">
        <v>56</v>
      </c>
      <c r="AH2" s="40" t="s">
        <v>57</v>
      </c>
      <c r="AI2" s="54" t="s">
        <v>58</v>
      </c>
      <c r="AJ2" s="55" t="s">
        <v>59</v>
      </c>
      <c r="AK2" s="156"/>
      <c r="AL2" s="156"/>
      <c r="AM2" s="156"/>
    </row>
    <row r="3" spans="1:39" s="30" customFormat="1" ht="18.75">
      <c r="A3" s="28" t="s">
        <v>1</v>
      </c>
      <c r="B3" s="133">
        <v>5187</v>
      </c>
      <c r="C3" s="133">
        <v>5187</v>
      </c>
      <c r="D3" s="133">
        <v>513</v>
      </c>
      <c r="E3" s="34">
        <f>(1+D3/B3)/(1+D$15/B$15)</f>
        <v>0.8971816360978924</v>
      </c>
      <c r="F3" s="134">
        <v>124.8</v>
      </c>
      <c r="G3" s="34">
        <f>(F3/B3)/(F$15/B$15)</f>
        <v>1.1500802346716292</v>
      </c>
      <c r="H3" s="29"/>
      <c r="I3" s="13"/>
      <c r="J3" s="34">
        <f aca="true" t="shared" si="0" ref="J3:J15">SUM(I$15+(1-I$15)*H$15/B3)</f>
        <v>0.812617360709466</v>
      </c>
      <c r="K3" s="8"/>
      <c r="L3" s="8"/>
      <c r="M3" s="8"/>
      <c r="N3" s="36">
        <f>SUM(K$15*J3+L$15*G3+M$15*E3)</f>
        <v>0.8523180232839243</v>
      </c>
      <c r="O3" s="134">
        <v>78.6</v>
      </c>
      <c r="P3" s="134">
        <v>1741.06</v>
      </c>
      <c r="Q3" s="134">
        <v>4.44</v>
      </c>
      <c r="R3" s="34">
        <f>SUM(0.2*O3/O$15+0.65*P3/P$15+0.15*Q3/Q$15)</f>
        <v>0.6251524296834576</v>
      </c>
      <c r="S3" s="11">
        <f>SUM(C3/B3)</f>
        <v>1</v>
      </c>
      <c r="T3" s="34">
        <f>SUM((1+0.25*S3)/(1+0.25*S$15))</f>
        <v>1</v>
      </c>
      <c r="U3" s="13"/>
      <c r="V3" s="13"/>
      <c r="W3" s="34">
        <f>SUM(U$15*T3+V$15*R3+1-U$15-V$15)</f>
        <v>0.9759813767822274</v>
      </c>
      <c r="X3" s="13">
        <f>SUM(W3*N3*B3)</f>
        <v>4314.787887937273</v>
      </c>
      <c r="Y3" s="34">
        <f>SUM(W3*N3*B$15/X$15)</f>
        <v>0.8356368643512491</v>
      </c>
      <c r="Z3" s="45">
        <f>SUM(НПn2014!N3)</f>
        <v>9095.988635302449</v>
      </c>
      <c r="AA3" s="46">
        <f>(Z3/B3)/(Z$15/B$15)</f>
        <v>1.5297802037765964</v>
      </c>
      <c r="AB3" s="46">
        <f>SUM(AA3/Y3)</f>
        <v>1.8306758222834616</v>
      </c>
      <c r="AC3" s="44">
        <f>SUM(ПНД!K5)</f>
        <v>8138</v>
      </c>
      <c r="AD3" s="69"/>
      <c r="AE3" s="45">
        <f aca="true" t="shared" si="1" ref="AE3:AE15">SUM(AC$15+AD$15)/AC$15</f>
        <v>16.057518488085456</v>
      </c>
      <c r="AF3" s="44">
        <f>SUM(AC$15/B$15)*(AE$15-AB3)*Y3*B3</f>
        <v>82328.92605405532</v>
      </c>
      <c r="AG3" s="52">
        <f>SUM(AD$15*AF3/AF$15)</f>
        <v>82328.92605405532</v>
      </c>
      <c r="AH3" s="56"/>
      <c r="AI3" s="52">
        <f>SUM(AH$15*B3/B$15)</f>
        <v>8254.929405956887</v>
      </c>
      <c r="AJ3" s="150">
        <f aca="true" t="shared" si="2" ref="AJ3:AJ14">SUM(AI3+AG3)</f>
        <v>90583.85546001222</v>
      </c>
      <c r="AK3" s="157">
        <v>76960.69193624266</v>
      </c>
      <c r="AL3" s="157">
        <f>SUM(AJ3-AK3)</f>
        <v>13623.16352376956</v>
      </c>
      <c r="AM3" s="159"/>
    </row>
    <row r="4" spans="1:39" s="30" customFormat="1" ht="18.75">
      <c r="A4" s="28" t="s">
        <v>2</v>
      </c>
      <c r="B4" s="133">
        <v>1050</v>
      </c>
      <c r="C4" s="133">
        <v>1050</v>
      </c>
      <c r="D4" s="133">
        <v>0</v>
      </c>
      <c r="E4" s="34">
        <f aca="true" t="shared" si="3" ref="E4:E15">(1+D4/B4)/(1+D$15/B$15)</f>
        <v>0.816435288849082</v>
      </c>
      <c r="F4" s="134">
        <v>13.3</v>
      </c>
      <c r="G4" s="34">
        <f aca="true" t="shared" si="4" ref="G4:G15">(F4/B4)/(F$15/B$15)</f>
        <v>0.605469323544835</v>
      </c>
      <c r="H4" s="29"/>
      <c r="I4" s="13"/>
      <c r="J4" s="34">
        <f t="shared" si="0"/>
        <v>1.1184297619047618</v>
      </c>
      <c r="K4" s="8"/>
      <c r="L4" s="8"/>
      <c r="M4" s="8"/>
      <c r="N4" s="36">
        <f aca="true" t="shared" si="5" ref="N4:N14">SUM(K$15*J4+L$15*G4+M$15*E4)</f>
        <v>0.997468954159898</v>
      </c>
      <c r="O4" s="134">
        <v>102.73</v>
      </c>
      <c r="P4" s="134">
        <v>4313.79</v>
      </c>
      <c r="Q4" s="134">
        <v>4.44</v>
      </c>
      <c r="R4" s="34">
        <f aca="true" t="shared" si="6" ref="R4:R15">SUM(0.2*O4/O$15+0.65*P4/P$15+0.15*Q4/Q$15)</f>
        <v>1.154349227714031</v>
      </c>
      <c r="S4" s="11">
        <f aca="true" t="shared" si="7" ref="S4:S15">SUM(C4/B4)</f>
        <v>1</v>
      </c>
      <c r="T4" s="34">
        <f aca="true" t="shared" si="8" ref="T4:T15">SUM((1+0.25*S4)/(1+0.25*S$15))</f>
        <v>1</v>
      </c>
      <c r="U4" s="13"/>
      <c r="V4" s="13"/>
      <c r="W4" s="34">
        <f aca="true" t="shared" si="9" ref="W4:W15">SUM(U$15*T4+V$15*R4+1-U$15-V$15)</f>
        <v>1.0098900359452425</v>
      </c>
      <c r="X4" s="13">
        <f aca="true" t="shared" si="10" ref="X4:X14">SUM(W4*N4*B4)</f>
        <v>1057.700655869343</v>
      </c>
      <c r="Y4" s="34">
        <f aca="true" t="shared" si="11" ref="Y4:Y15">SUM(W4*N4*B$15/X$15)</f>
        <v>1.0119239210116386</v>
      </c>
      <c r="Z4" s="45">
        <f>SUM(НПn2014!N4)</f>
        <v>1978.057095805003</v>
      </c>
      <c r="AA4" s="46">
        <f aca="true" t="shared" si="12" ref="AA4:AA14">(Z4/B4)/(Z$15/B$15)</f>
        <v>1.6434061188543267</v>
      </c>
      <c r="AB4" s="46">
        <f aca="true" t="shared" si="13" ref="AB4:AB14">SUM(AA4/Y4)</f>
        <v>1.6240411801031287</v>
      </c>
      <c r="AC4" s="44">
        <f>SUM(ПНД!K6)</f>
        <v>3384</v>
      </c>
      <c r="AD4" s="69"/>
      <c r="AE4" s="45">
        <f t="shared" si="1"/>
        <v>16.057518488085456</v>
      </c>
      <c r="AF4" s="44">
        <f aca="true" t="shared" si="14" ref="AF4:AF14">SUM(AC$15/B$15)*(AE$15-AB4)*Y4*B4</f>
        <v>20474.731631454022</v>
      </c>
      <c r="AG4" s="52">
        <f aca="true" t="shared" si="15" ref="AG4:AG14">SUM(AD$15*AF4/AF$15)</f>
        <v>20474.731631454022</v>
      </c>
      <c r="AH4" s="56"/>
      <c r="AI4" s="52">
        <f aca="true" t="shared" si="16" ref="AI4:AI14">SUM(AH$15*B4/B$15)</f>
        <v>1671.038341286819</v>
      </c>
      <c r="AJ4" s="150">
        <f t="shared" si="2"/>
        <v>22145.76997274084</v>
      </c>
      <c r="AK4" s="157">
        <v>18806.271168085845</v>
      </c>
      <c r="AL4" s="157">
        <f aca="true" t="shared" si="17" ref="AL4:AL15">SUM(AJ4-AK4)</f>
        <v>3339.498804654995</v>
      </c>
      <c r="AM4" s="159"/>
    </row>
    <row r="5" spans="1:39" s="30" customFormat="1" ht="18.75">
      <c r="A5" s="28" t="s">
        <v>3</v>
      </c>
      <c r="B5" s="133">
        <v>1273</v>
      </c>
      <c r="C5" s="133">
        <v>1273</v>
      </c>
      <c r="D5" s="133">
        <v>592</v>
      </c>
      <c r="E5" s="34">
        <f t="shared" si="3"/>
        <v>1.196112972273007</v>
      </c>
      <c r="F5" s="134">
        <v>26.7</v>
      </c>
      <c r="G5" s="34">
        <f t="shared" si="4"/>
        <v>1.002565279198356</v>
      </c>
      <c r="H5" s="29"/>
      <c r="I5" s="13"/>
      <c r="J5" s="34">
        <f t="shared" si="0"/>
        <v>1.0512617831893165</v>
      </c>
      <c r="K5" s="8"/>
      <c r="L5" s="8"/>
      <c r="M5" s="8"/>
      <c r="N5" s="36">
        <f t="shared" si="5"/>
        <v>1.1004161600655138</v>
      </c>
      <c r="O5" s="134">
        <v>102.73</v>
      </c>
      <c r="P5" s="134">
        <v>2622.22</v>
      </c>
      <c r="Q5" s="134">
        <v>4.44</v>
      </c>
      <c r="R5" s="34">
        <f t="shared" si="6"/>
        <v>0.8362185781310363</v>
      </c>
      <c r="S5" s="11">
        <f t="shared" si="7"/>
        <v>1</v>
      </c>
      <c r="T5" s="34">
        <f t="shared" si="8"/>
        <v>1</v>
      </c>
      <c r="U5" s="13"/>
      <c r="V5" s="13"/>
      <c r="W5" s="34">
        <f t="shared" si="9"/>
        <v>0.9895055895423843</v>
      </c>
      <c r="X5" s="13">
        <f t="shared" si="10"/>
        <v>1386.1288891572658</v>
      </c>
      <c r="Y5" s="34">
        <f t="shared" si="11"/>
        <v>1.0938294175550811</v>
      </c>
      <c r="Z5" s="45">
        <f>SUM(НПn2014!N5)</f>
        <v>2018.1082976418363</v>
      </c>
      <c r="AA5" s="46">
        <f t="shared" si="12"/>
        <v>1.3829657985882995</v>
      </c>
      <c r="AB5" s="46">
        <f t="shared" si="13"/>
        <v>1.2643340692733367</v>
      </c>
      <c r="AC5" s="44">
        <f>SUM(ПНД!K7)</f>
        <v>2493</v>
      </c>
      <c r="AD5" s="69"/>
      <c r="AE5" s="45">
        <f t="shared" si="1"/>
        <v>16.057518488085456</v>
      </c>
      <c r="AF5" s="44">
        <f t="shared" si="14"/>
        <v>27501.080482197158</v>
      </c>
      <c r="AG5" s="52">
        <f t="shared" si="15"/>
        <v>27501.080482197158</v>
      </c>
      <c r="AH5" s="56"/>
      <c r="AI5" s="52">
        <f t="shared" si="16"/>
        <v>2025.9350556744007</v>
      </c>
      <c r="AJ5" s="150">
        <f t="shared" si="2"/>
        <v>29527.015537871557</v>
      </c>
      <c r="AK5" s="157">
        <v>25150.56389935593</v>
      </c>
      <c r="AL5" s="157">
        <f t="shared" si="17"/>
        <v>4376.451638515628</v>
      </c>
      <c r="AM5" s="159"/>
    </row>
    <row r="6" spans="1:39" s="30" customFormat="1" ht="18.75">
      <c r="A6" s="28" t="s">
        <v>4</v>
      </c>
      <c r="B6" s="133">
        <v>805</v>
      </c>
      <c r="C6" s="133">
        <v>805</v>
      </c>
      <c r="D6" s="133">
        <v>52</v>
      </c>
      <c r="E6" s="34">
        <f t="shared" si="3"/>
        <v>0.8691739658927493</v>
      </c>
      <c r="F6" s="134">
        <v>17.4</v>
      </c>
      <c r="G6" s="34">
        <f t="shared" si="4"/>
        <v>1.0331970803870671</v>
      </c>
      <c r="H6" s="29"/>
      <c r="I6" s="13"/>
      <c r="J6" s="34">
        <f t="shared" si="0"/>
        <v>1.2351257763975156</v>
      </c>
      <c r="K6" s="8"/>
      <c r="L6" s="8"/>
      <c r="M6" s="8"/>
      <c r="N6" s="36">
        <f t="shared" si="5"/>
        <v>1.101169126081115</v>
      </c>
      <c r="O6" s="134">
        <v>188.31</v>
      </c>
      <c r="P6" s="134">
        <v>3423.89</v>
      </c>
      <c r="Q6" s="134">
        <v>4.44</v>
      </c>
      <c r="R6" s="34">
        <f t="shared" si="6"/>
        <v>1.147819181827531</v>
      </c>
      <c r="S6" s="11">
        <f t="shared" si="7"/>
        <v>1</v>
      </c>
      <c r="T6" s="34">
        <f t="shared" si="8"/>
        <v>1</v>
      </c>
      <c r="U6" s="13"/>
      <c r="V6" s="13"/>
      <c r="W6" s="34">
        <f t="shared" si="9"/>
        <v>1.0094716186360142</v>
      </c>
      <c r="X6" s="13">
        <f t="shared" si="10"/>
        <v>894.8371789781721</v>
      </c>
      <c r="Y6" s="34">
        <f t="shared" si="11"/>
        <v>1.1166640314581826</v>
      </c>
      <c r="Z6" s="45">
        <f>SUM(НПn2014!N6)</f>
        <v>477.5194012756893</v>
      </c>
      <c r="AA6" s="46">
        <f t="shared" si="12"/>
        <v>0.5174763622909778</v>
      </c>
      <c r="AB6" s="46">
        <f t="shared" si="13"/>
        <v>0.4634127613255684</v>
      </c>
      <c r="AC6" s="44">
        <f>SUM(ПНД!K13)</f>
        <v>572</v>
      </c>
      <c r="AD6" s="69"/>
      <c r="AE6" s="45">
        <f t="shared" si="1"/>
        <v>16.057518488085456</v>
      </c>
      <c r="AF6" s="44">
        <f t="shared" si="14"/>
        <v>18714.962662198875</v>
      </c>
      <c r="AG6" s="52">
        <f t="shared" si="15"/>
        <v>18714.962662198875</v>
      </c>
      <c r="AH6" s="56"/>
      <c r="AI6" s="52">
        <f t="shared" si="16"/>
        <v>1281.1293949865615</v>
      </c>
      <c r="AJ6" s="150">
        <f t="shared" si="2"/>
        <v>19996.092057185437</v>
      </c>
      <c r="AK6" s="157">
        <v>17170.80526836114</v>
      </c>
      <c r="AL6" s="157">
        <f t="shared" si="17"/>
        <v>2825.286788824298</v>
      </c>
      <c r="AM6" s="159"/>
    </row>
    <row r="7" spans="1:39" s="30" customFormat="1" ht="18.75">
      <c r="A7" s="28" t="s">
        <v>5</v>
      </c>
      <c r="B7" s="133">
        <v>1068</v>
      </c>
      <c r="C7" s="133">
        <v>1068</v>
      </c>
      <c r="D7" s="133">
        <v>295</v>
      </c>
      <c r="E7" s="34">
        <f t="shared" si="3"/>
        <v>1.0419487815555233</v>
      </c>
      <c r="F7" s="134">
        <v>22.5</v>
      </c>
      <c r="G7" s="34">
        <f t="shared" si="4"/>
        <v>1.0070268908751319</v>
      </c>
      <c r="H7" s="29"/>
      <c r="I7" s="13"/>
      <c r="J7" s="34">
        <f t="shared" si="0"/>
        <v>1.1119674625468163</v>
      </c>
      <c r="K7" s="8"/>
      <c r="L7" s="8"/>
      <c r="M7" s="8"/>
      <c r="N7" s="36">
        <f t="shared" si="5"/>
        <v>1.0843429897733894</v>
      </c>
      <c r="O7" s="134">
        <v>188.31</v>
      </c>
      <c r="P7" s="134">
        <v>4297.45</v>
      </c>
      <c r="Q7" s="134">
        <v>4.44</v>
      </c>
      <c r="R7" s="34">
        <f t="shared" si="6"/>
        <v>1.3121081029184234</v>
      </c>
      <c r="S7" s="11">
        <f t="shared" si="7"/>
        <v>1</v>
      </c>
      <c r="T7" s="34">
        <f t="shared" si="8"/>
        <v>1</v>
      </c>
      <c r="U7" s="13"/>
      <c r="V7" s="13"/>
      <c r="W7" s="34">
        <f t="shared" si="9"/>
        <v>1.0199985474652566</v>
      </c>
      <c r="X7" s="13">
        <f t="shared" si="10"/>
        <v>1181.2381971905543</v>
      </c>
      <c r="Y7" s="34">
        <f t="shared" si="11"/>
        <v>1.1110679427104966</v>
      </c>
      <c r="Z7" s="45">
        <f>SUM(НПn2014!N7)</f>
        <v>787.0642110023666</v>
      </c>
      <c r="AA7" s="46">
        <f t="shared" si="12"/>
        <v>0.6428864727216029</v>
      </c>
      <c r="AB7" s="46">
        <f t="shared" si="13"/>
        <v>0.5786203057512888</v>
      </c>
      <c r="AC7" s="44">
        <f>SUM(ПНД!K9)</f>
        <v>1200</v>
      </c>
      <c r="AD7" s="69"/>
      <c r="AE7" s="45">
        <f t="shared" si="1"/>
        <v>16.057518488085456</v>
      </c>
      <c r="AF7" s="44">
        <f t="shared" si="14"/>
        <v>24522.344894178364</v>
      </c>
      <c r="AG7" s="52">
        <f t="shared" si="15"/>
        <v>24522.344894178368</v>
      </c>
      <c r="AH7" s="56"/>
      <c r="AI7" s="52">
        <f t="shared" si="16"/>
        <v>1699.684712851736</v>
      </c>
      <c r="AJ7" s="150">
        <f t="shared" si="2"/>
        <v>26222.029607030105</v>
      </c>
      <c r="AK7" s="157">
        <v>22492.483326009387</v>
      </c>
      <c r="AL7" s="157">
        <f t="shared" si="17"/>
        <v>3729.5462810207173</v>
      </c>
      <c r="AM7" s="159"/>
    </row>
    <row r="8" spans="1:39" s="30" customFormat="1" ht="18.75">
      <c r="A8" s="28" t="s">
        <v>6</v>
      </c>
      <c r="B8" s="133">
        <v>1320</v>
      </c>
      <c r="C8" s="133">
        <v>1320</v>
      </c>
      <c r="D8" s="133">
        <v>470</v>
      </c>
      <c r="E8" s="34">
        <f t="shared" si="3"/>
        <v>1.1071357326059519</v>
      </c>
      <c r="F8" s="134">
        <v>25.7</v>
      </c>
      <c r="G8" s="34">
        <f t="shared" si="4"/>
        <v>0.9306555989893694</v>
      </c>
      <c r="H8" s="29"/>
      <c r="I8" s="13"/>
      <c r="J8" s="34">
        <f t="shared" si="0"/>
        <v>1.040000946969697</v>
      </c>
      <c r="K8" s="8"/>
      <c r="L8" s="8"/>
      <c r="M8" s="8"/>
      <c r="N8" s="36">
        <f t="shared" si="5"/>
        <v>1.0601729295182456</v>
      </c>
      <c r="O8" s="134">
        <v>102.73</v>
      </c>
      <c r="P8" s="134">
        <v>4053.83</v>
      </c>
      <c r="Q8" s="134">
        <v>4.44</v>
      </c>
      <c r="R8" s="34">
        <f t="shared" si="6"/>
        <v>1.105458999307524</v>
      </c>
      <c r="S8" s="11">
        <f t="shared" si="7"/>
        <v>1</v>
      </c>
      <c r="T8" s="34">
        <f t="shared" si="8"/>
        <v>1</v>
      </c>
      <c r="U8" s="13"/>
      <c r="V8" s="13"/>
      <c r="W8" s="34">
        <f t="shared" si="9"/>
        <v>1.0067573599774218</v>
      </c>
      <c r="X8" s="13">
        <f t="shared" si="10"/>
        <v>1408.88470752654</v>
      </c>
      <c r="Y8" s="34">
        <f t="shared" si="11"/>
        <v>1.0722002688176562</v>
      </c>
      <c r="Z8" s="45">
        <f>SUM(НПn2014!N8)</f>
        <v>1598.906565569128</v>
      </c>
      <c r="AA8" s="46">
        <f t="shared" si="12"/>
        <v>1.056682536911478</v>
      </c>
      <c r="AB8" s="46">
        <f t="shared" si="13"/>
        <v>0.9855272075959374</v>
      </c>
      <c r="AC8" s="44">
        <f>SUM(ПНД!K14)</f>
        <v>1595</v>
      </c>
      <c r="AD8" s="69"/>
      <c r="AE8" s="45">
        <f t="shared" si="1"/>
        <v>16.057518488085456</v>
      </c>
      <c r="AF8" s="44">
        <f t="shared" si="14"/>
        <v>28479.38194029252</v>
      </c>
      <c r="AG8" s="52">
        <f t="shared" si="15"/>
        <v>28479.38194029252</v>
      </c>
      <c r="AH8" s="56"/>
      <c r="AI8" s="52">
        <f t="shared" si="16"/>
        <v>2100.7339147605726</v>
      </c>
      <c r="AJ8" s="150">
        <f t="shared" si="2"/>
        <v>30580.11585505309</v>
      </c>
      <c r="AK8" s="157">
        <v>26131.81682964076</v>
      </c>
      <c r="AL8" s="157">
        <f t="shared" si="17"/>
        <v>4448.299025412329</v>
      </c>
      <c r="AM8" s="159"/>
    </row>
    <row r="9" spans="1:39" s="30" customFormat="1" ht="18.75">
      <c r="A9" s="28" t="s">
        <v>7</v>
      </c>
      <c r="B9" s="133">
        <v>3056</v>
      </c>
      <c r="C9" s="133">
        <v>3056</v>
      </c>
      <c r="D9" s="133">
        <v>949</v>
      </c>
      <c r="E9" s="34">
        <f t="shared" si="3"/>
        <v>1.0699683677488787</v>
      </c>
      <c r="F9" s="134">
        <v>65.7</v>
      </c>
      <c r="G9" s="34">
        <f t="shared" si="4"/>
        <v>1.0276419439815287</v>
      </c>
      <c r="H9" s="29"/>
      <c r="I9" s="13"/>
      <c r="J9" s="34">
        <f t="shared" si="0"/>
        <v>0.8667412467277487</v>
      </c>
      <c r="K9" s="8"/>
      <c r="L9" s="8"/>
      <c r="M9" s="8"/>
      <c r="N9" s="36">
        <f t="shared" si="5"/>
        <v>0.94259905513623</v>
      </c>
      <c r="O9" s="134">
        <v>102.73</v>
      </c>
      <c r="P9" s="134">
        <v>3075.41</v>
      </c>
      <c r="Q9" s="134">
        <v>4.44</v>
      </c>
      <c r="R9" s="34">
        <f t="shared" si="6"/>
        <v>0.9214492390463501</v>
      </c>
      <c r="S9" s="11">
        <f t="shared" si="7"/>
        <v>1</v>
      </c>
      <c r="T9" s="34">
        <f t="shared" si="8"/>
        <v>1</v>
      </c>
      <c r="U9" s="13"/>
      <c r="V9" s="13"/>
      <c r="W9" s="34">
        <f t="shared" si="9"/>
        <v>0.9949668044287392</v>
      </c>
      <c r="X9" s="13">
        <f t="shared" si="10"/>
        <v>2866.0841763451317</v>
      </c>
      <c r="Y9" s="34">
        <f t="shared" si="11"/>
        <v>0.9421281477029252</v>
      </c>
      <c r="Z9" s="45">
        <f>SUM(НПn2014!N9)</f>
        <v>2112.050739935602</v>
      </c>
      <c r="AA9" s="46">
        <f t="shared" si="12"/>
        <v>0.602901512129211</v>
      </c>
      <c r="AB9" s="46">
        <f t="shared" si="13"/>
        <v>0.6399357811346486</v>
      </c>
      <c r="AC9" s="44">
        <f>SUM(ПНД!K12)</f>
        <v>2861</v>
      </c>
      <c r="AD9" s="69"/>
      <c r="AE9" s="45">
        <f t="shared" si="1"/>
        <v>16.057518488085456</v>
      </c>
      <c r="AF9" s="44">
        <f t="shared" si="14"/>
        <v>59263.82781557601</v>
      </c>
      <c r="AG9" s="52">
        <f t="shared" si="15"/>
        <v>59263.82781557601</v>
      </c>
      <c r="AH9" s="56"/>
      <c r="AI9" s="52">
        <f t="shared" si="16"/>
        <v>4863.517305688114</v>
      </c>
      <c r="AJ9" s="150">
        <f t="shared" si="2"/>
        <v>64127.34512126412</v>
      </c>
      <c r="AK9" s="157">
        <v>55078.20193710079</v>
      </c>
      <c r="AL9" s="157">
        <f t="shared" si="17"/>
        <v>9049.143184163331</v>
      </c>
      <c r="AM9" s="159"/>
    </row>
    <row r="10" spans="1:39" s="30" customFormat="1" ht="18.75">
      <c r="A10" s="28" t="s">
        <v>8</v>
      </c>
      <c r="B10" s="133">
        <v>917</v>
      </c>
      <c r="C10" s="133">
        <v>917</v>
      </c>
      <c r="D10" s="133">
        <v>257</v>
      </c>
      <c r="E10" s="34">
        <f t="shared" si="3"/>
        <v>1.0452508496279413</v>
      </c>
      <c r="F10" s="134">
        <v>19.3</v>
      </c>
      <c r="G10" s="34">
        <f t="shared" si="4"/>
        <v>1.0060458541366568</v>
      </c>
      <c r="H10" s="29"/>
      <c r="I10" s="13"/>
      <c r="J10" s="34">
        <f t="shared" si="0"/>
        <v>1.174041712104689</v>
      </c>
      <c r="K10" s="8"/>
      <c r="L10" s="8"/>
      <c r="M10" s="8"/>
      <c r="N10" s="36">
        <f t="shared" si="5"/>
        <v>1.123982618982617</v>
      </c>
      <c r="O10" s="134">
        <v>102.73</v>
      </c>
      <c r="P10" s="134">
        <v>3582.3</v>
      </c>
      <c r="Q10" s="134">
        <v>4.44</v>
      </c>
      <c r="R10" s="34">
        <f t="shared" si="6"/>
        <v>1.0167791662542838</v>
      </c>
      <c r="S10" s="11">
        <f t="shared" si="7"/>
        <v>1</v>
      </c>
      <c r="T10" s="34">
        <f t="shared" si="8"/>
        <v>1</v>
      </c>
      <c r="U10" s="13"/>
      <c r="V10" s="13"/>
      <c r="W10" s="34">
        <f t="shared" si="9"/>
        <v>1.0010751369465452</v>
      </c>
      <c r="X10" s="13">
        <f t="shared" si="10"/>
        <v>1031.8001967230043</v>
      </c>
      <c r="Y10" s="34">
        <f t="shared" si="11"/>
        <v>1.1303180384892035</v>
      </c>
      <c r="Z10" s="45">
        <f>SUM(НПn2014!N10)</f>
        <v>442.60042873092897</v>
      </c>
      <c r="AA10" s="46">
        <f t="shared" si="12"/>
        <v>0.4210540704328889</v>
      </c>
      <c r="AB10" s="46">
        <f t="shared" si="13"/>
        <v>0.3725093788609043</v>
      </c>
      <c r="AC10" s="44">
        <f>SUM(ПНД!K10)</f>
        <v>611</v>
      </c>
      <c r="AD10" s="69"/>
      <c r="AE10" s="45">
        <f t="shared" si="1"/>
        <v>16.057518488085456</v>
      </c>
      <c r="AF10" s="44">
        <f t="shared" si="14"/>
        <v>21705.252990149456</v>
      </c>
      <c r="AG10" s="52">
        <f t="shared" si="15"/>
        <v>21705.252990149456</v>
      </c>
      <c r="AH10" s="56"/>
      <c r="AI10" s="52">
        <f t="shared" si="16"/>
        <v>1459.373484723822</v>
      </c>
      <c r="AJ10" s="150">
        <f t="shared" si="2"/>
        <v>23164.62647487328</v>
      </c>
      <c r="AK10" s="157">
        <v>19906.90369245978</v>
      </c>
      <c r="AL10" s="157">
        <f t="shared" si="17"/>
        <v>3257.7227824135007</v>
      </c>
      <c r="AM10" s="159"/>
    </row>
    <row r="11" spans="1:39" s="30" customFormat="1" ht="18.75">
      <c r="A11" s="28" t="s">
        <v>9</v>
      </c>
      <c r="B11" s="133">
        <v>1092</v>
      </c>
      <c r="C11" s="133">
        <v>1092</v>
      </c>
      <c r="D11" s="133">
        <v>262</v>
      </c>
      <c r="E11" s="46">
        <f t="shared" si="3"/>
        <v>1.0123199460637884</v>
      </c>
      <c r="F11" s="134">
        <v>16.7</v>
      </c>
      <c r="G11" s="34">
        <f t="shared" si="4"/>
        <v>0.7310105337766587</v>
      </c>
      <c r="H11" s="29"/>
      <c r="I11" s="13"/>
      <c r="J11" s="34">
        <f t="shared" si="0"/>
        <v>1.1036824633699633</v>
      </c>
      <c r="K11" s="8"/>
      <c r="L11" s="8"/>
      <c r="M11" s="8"/>
      <c r="N11" s="36">
        <f t="shared" si="5"/>
        <v>1.0605472022772116</v>
      </c>
      <c r="O11" s="134">
        <v>102.73</v>
      </c>
      <c r="P11" s="134">
        <v>3556.63</v>
      </c>
      <c r="Q11" s="134">
        <v>4.44</v>
      </c>
      <c r="R11" s="34">
        <f t="shared" si="6"/>
        <v>1.0119514536708285</v>
      </c>
      <c r="S11" s="11">
        <f t="shared" si="7"/>
        <v>1</v>
      </c>
      <c r="T11" s="34">
        <f t="shared" si="8"/>
        <v>1</v>
      </c>
      <c r="U11" s="13"/>
      <c r="V11" s="13"/>
      <c r="W11" s="34">
        <f t="shared" si="9"/>
        <v>1.0007657978478608</v>
      </c>
      <c r="X11" s="13">
        <f t="shared" si="10"/>
        <v>1159.0044288101592</v>
      </c>
      <c r="Y11" s="34">
        <f t="shared" si="11"/>
        <v>1.0661954993191791</v>
      </c>
      <c r="Z11" s="45">
        <f>SUM(НПn2014!N11)</f>
        <v>496.4900848222631</v>
      </c>
      <c r="AA11" s="46">
        <f t="shared" si="12"/>
        <v>0.3966279515650727</v>
      </c>
      <c r="AB11" s="46">
        <f t="shared" si="13"/>
        <v>0.3720030255411321</v>
      </c>
      <c r="AC11" s="44">
        <f>SUM(ПНД!K15)</f>
        <v>778</v>
      </c>
      <c r="AD11" s="69"/>
      <c r="AE11" s="45">
        <f t="shared" si="1"/>
        <v>16.057518488085456</v>
      </c>
      <c r="AF11" s="44">
        <f t="shared" si="14"/>
        <v>24381.94578888668</v>
      </c>
      <c r="AG11" s="52">
        <f t="shared" si="15"/>
        <v>24381.945788886682</v>
      </c>
      <c r="AH11" s="56"/>
      <c r="AI11" s="52">
        <f t="shared" si="16"/>
        <v>1737.879874938292</v>
      </c>
      <c r="AJ11" s="150">
        <f t="shared" si="2"/>
        <v>26119.825663824973</v>
      </c>
      <c r="AK11" s="157">
        <v>22460.478491141086</v>
      </c>
      <c r="AL11" s="157">
        <f t="shared" si="17"/>
        <v>3659.347172683887</v>
      </c>
      <c r="AM11" s="159"/>
    </row>
    <row r="12" spans="1:39" s="30" customFormat="1" ht="18.75">
      <c r="A12" s="28" t="s">
        <v>10</v>
      </c>
      <c r="B12" s="133">
        <v>1347</v>
      </c>
      <c r="C12" s="133">
        <v>1347</v>
      </c>
      <c r="D12" s="133">
        <v>416</v>
      </c>
      <c r="E12" s="46">
        <f t="shared" si="3"/>
        <v>1.068578629726007</v>
      </c>
      <c r="F12" s="134">
        <v>31.1</v>
      </c>
      <c r="G12" s="34">
        <f t="shared" si="4"/>
        <v>1.1036277084892958</v>
      </c>
      <c r="H12" s="29"/>
      <c r="I12" s="13"/>
      <c r="J12" s="34">
        <f t="shared" si="0"/>
        <v>1.0338873422420192</v>
      </c>
      <c r="K12" s="8"/>
      <c r="L12" s="8"/>
      <c r="M12" s="8"/>
      <c r="N12" s="36">
        <f t="shared" si="5"/>
        <v>1.048107835213711</v>
      </c>
      <c r="O12" s="134">
        <v>102.73</v>
      </c>
      <c r="P12" s="134">
        <v>3582.3</v>
      </c>
      <c r="Q12" s="134">
        <v>4.44</v>
      </c>
      <c r="R12" s="34">
        <f t="shared" si="6"/>
        <v>1.0167791662542838</v>
      </c>
      <c r="S12" s="11">
        <f t="shared" si="7"/>
        <v>1</v>
      </c>
      <c r="T12" s="34">
        <f t="shared" si="8"/>
        <v>1</v>
      </c>
      <c r="U12" s="13"/>
      <c r="V12" s="13"/>
      <c r="W12" s="34">
        <f t="shared" si="9"/>
        <v>1.0010751369465452</v>
      </c>
      <c r="X12" s="13">
        <f t="shared" si="10"/>
        <v>1413.3191337222581</v>
      </c>
      <c r="Y12" s="34">
        <f t="shared" si="11"/>
        <v>1.0540155803265576</v>
      </c>
      <c r="Z12" s="45">
        <f>SUM(НПn2014!N12)</f>
        <v>1210.4777762004464</v>
      </c>
      <c r="AA12" s="46">
        <f t="shared" si="12"/>
        <v>0.7839432051788451</v>
      </c>
      <c r="AB12" s="46">
        <f t="shared" si="13"/>
        <v>0.7437681375980817</v>
      </c>
      <c r="AC12" s="44">
        <f>SUM(ПНД!K11)</f>
        <v>1466</v>
      </c>
      <c r="AD12" s="69"/>
      <c r="AE12" s="45">
        <f t="shared" si="1"/>
        <v>16.057518488085456</v>
      </c>
      <c r="AF12" s="44">
        <f t="shared" si="14"/>
        <v>29027.275306656185</v>
      </c>
      <c r="AG12" s="52">
        <f t="shared" si="15"/>
        <v>29027.275306656185</v>
      </c>
      <c r="AH12" s="56"/>
      <c r="AI12" s="52">
        <f t="shared" si="16"/>
        <v>2143.703472107948</v>
      </c>
      <c r="AJ12" s="150">
        <f t="shared" si="2"/>
        <v>31170.978778764133</v>
      </c>
      <c r="AK12" s="157">
        <v>26708.678853477384</v>
      </c>
      <c r="AL12" s="157">
        <f t="shared" si="17"/>
        <v>4462.2999252867485</v>
      </c>
      <c r="AM12" s="159"/>
    </row>
    <row r="13" spans="1:39" s="30" customFormat="1" ht="18.75">
      <c r="A13" s="28" t="s">
        <v>11</v>
      </c>
      <c r="B13" s="133">
        <v>823</v>
      </c>
      <c r="C13" s="133">
        <v>823</v>
      </c>
      <c r="D13" s="133">
        <v>0</v>
      </c>
      <c r="E13" s="34">
        <f t="shared" si="3"/>
        <v>0.816435288849082</v>
      </c>
      <c r="F13" s="134">
        <v>12.9</v>
      </c>
      <c r="G13" s="34">
        <f t="shared" si="4"/>
        <v>0.7492377956508636</v>
      </c>
      <c r="H13" s="29"/>
      <c r="I13" s="13"/>
      <c r="J13" s="34">
        <f t="shared" si="0"/>
        <v>1.2241874240583233</v>
      </c>
      <c r="K13" s="8"/>
      <c r="L13" s="8"/>
      <c r="M13" s="8"/>
      <c r="N13" s="36">
        <f t="shared" si="5"/>
        <v>1.0674122832513573</v>
      </c>
      <c r="O13" s="134">
        <v>102.73</v>
      </c>
      <c r="P13" s="134">
        <v>4297.45</v>
      </c>
      <c r="Q13" s="134">
        <v>4.44</v>
      </c>
      <c r="R13" s="34">
        <f t="shared" si="6"/>
        <v>1.1512761921233157</v>
      </c>
      <c r="S13" s="11">
        <f t="shared" si="7"/>
        <v>1</v>
      </c>
      <c r="T13" s="34">
        <f t="shared" si="8"/>
        <v>1</v>
      </c>
      <c r="U13" s="13"/>
      <c r="V13" s="13"/>
      <c r="W13" s="34">
        <f t="shared" si="9"/>
        <v>1.0096931290160451</v>
      </c>
      <c r="X13" s="13">
        <f t="shared" si="10"/>
        <v>886.9955320901823</v>
      </c>
      <c r="Y13" s="34">
        <f t="shared" si="11"/>
        <v>1.082669705485774</v>
      </c>
      <c r="Z13" s="45">
        <f>SUM(НПn2014!N13)</f>
        <v>478.15955290277486</v>
      </c>
      <c r="AA13" s="46">
        <f t="shared" si="12"/>
        <v>0.506837076359756</v>
      </c>
      <c r="AB13" s="46">
        <f t="shared" si="13"/>
        <v>0.46813637972104105</v>
      </c>
      <c r="AC13" s="44">
        <f>SUM(ПНД!K8)</f>
        <v>924</v>
      </c>
      <c r="AD13" s="69"/>
      <c r="AE13" s="45">
        <f t="shared" si="1"/>
        <v>16.057518488085456</v>
      </c>
      <c r="AF13" s="44">
        <f t="shared" si="14"/>
        <v>18545.340217629335</v>
      </c>
      <c r="AG13" s="52">
        <f t="shared" si="15"/>
        <v>18545.340217629335</v>
      </c>
      <c r="AH13" s="56"/>
      <c r="AI13" s="52">
        <f t="shared" si="16"/>
        <v>1309.7757665514782</v>
      </c>
      <c r="AJ13" s="150">
        <f t="shared" si="2"/>
        <v>19855.11598418081</v>
      </c>
      <c r="AK13" s="157">
        <v>17054.587779237172</v>
      </c>
      <c r="AL13" s="157">
        <f t="shared" si="17"/>
        <v>2800.528204943639</v>
      </c>
      <c r="AM13" s="159"/>
    </row>
    <row r="14" spans="1:39" s="30" customFormat="1" ht="18.75">
      <c r="A14" s="28" t="s">
        <v>12</v>
      </c>
      <c r="B14" s="133">
        <v>293</v>
      </c>
      <c r="C14" s="133">
        <v>293</v>
      </c>
      <c r="D14" s="133">
        <v>293</v>
      </c>
      <c r="E14" s="34">
        <f t="shared" si="3"/>
        <v>1.632870577698164</v>
      </c>
      <c r="F14" s="134">
        <v>5.3</v>
      </c>
      <c r="G14" s="34">
        <f t="shared" si="4"/>
        <v>0.8646454324019107</v>
      </c>
      <c r="H14" s="29"/>
      <c r="I14" s="13"/>
      <c r="J14" s="34">
        <f t="shared" si="0"/>
        <v>2.109065699658703</v>
      </c>
      <c r="K14" s="8"/>
      <c r="L14" s="8"/>
      <c r="M14" s="8"/>
      <c r="N14" s="36">
        <f t="shared" si="5"/>
        <v>1.905230822248472</v>
      </c>
      <c r="O14" s="134">
        <v>0</v>
      </c>
      <c r="P14" s="134">
        <v>2927.97</v>
      </c>
      <c r="Q14" s="134">
        <v>4.44</v>
      </c>
      <c r="R14" s="34">
        <f t="shared" si="6"/>
        <v>0.7006582630689367</v>
      </c>
      <c r="S14" s="11">
        <f t="shared" si="7"/>
        <v>1</v>
      </c>
      <c r="T14" s="34">
        <f t="shared" si="8"/>
        <v>1</v>
      </c>
      <c r="U14" s="13"/>
      <c r="V14" s="13"/>
      <c r="W14" s="34">
        <f t="shared" si="9"/>
        <v>0.9808194664657173</v>
      </c>
      <c r="X14" s="13">
        <f t="shared" si="10"/>
        <v>547.5254312215334</v>
      </c>
      <c r="Y14" s="34">
        <f t="shared" si="11"/>
        <v>1.8772022381444657</v>
      </c>
      <c r="Z14" s="45">
        <f>SUM(НПn2014!N14)</f>
        <v>203.0772108115127</v>
      </c>
      <c r="AA14" s="46">
        <f t="shared" si="12"/>
        <v>0.604628960388781</v>
      </c>
      <c r="AB14" s="46">
        <f t="shared" si="13"/>
        <v>0.3220904749114464</v>
      </c>
      <c r="AC14" s="44">
        <f>SUM(ПНД!K16)</f>
        <v>318</v>
      </c>
      <c r="AD14" s="69"/>
      <c r="AE14" s="45">
        <f t="shared" si="1"/>
        <v>16.057518488085456</v>
      </c>
      <c r="AF14" s="44">
        <f t="shared" si="14"/>
        <v>11554.930216726038</v>
      </c>
      <c r="AG14" s="52">
        <f t="shared" si="15"/>
        <v>11554.930216726038</v>
      </c>
      <c r="AH14" s="56"/>
      <c r="AI14" s="52">
        <f t="shared" si="16"/>
        <v>466.2992704733695</v>
      </c>
      <c r="AJ14" s="150">
        <f t="shared" si="2"/>
        <v>12021.229487199407</v>
      </c>
      <c r="AK14" s="157">
        <v>10292.51681888809</v>
      </c>
      <c r="AL14" s="157">
        <f t="shared" si="17"/>
        <v>1728.7126683113165</v>
      </c>
      <c r="AM14" s="159"/>
    </row>
    <row r="15" spans="1:39" s="32" customFormat="1" ht="18.75">
      <c r="A15" s="28" t="s">
        <v>13</v>
      </c>
      <c r="B15" s="31">
        <f>SUM(B3:B14)</f>
        <v>18231</v>
      </c>
      <c r="C15" s="31">
        <f>SUM(C3:C14)</f>
        <v>18231</v>
      </c>
      <c r="D15" s="31">
        <f>SUM(D3:D14)</f>
        <v>4099</v>
      </c>
      <c r="E15" s="48">
        <f t="shared" si="3"/>
        <v>1</v>
      </c>
      <c r="F15" s="10">
        <f>SUM(F3:F14)</f>
        <v>381.4</v>
      </c>
      <c r="G15" s="48">
        <f t="shared" si="4"/>
        <v>1</v>
      </c>
      <c r="H15" s="31">
        <f>B15/12</f>
        <v>1519.25</v>
      </c>
      <c r="I15" s="149">
        <v>0.735</v>
      </c>
      <c r="J15" s="48">
        <f t="shared" si="0"/>
        <v>0.7570833333333333</v>
      </c>
      <c r="K15" s="10">
        <f>SUM('а1 а2 а3'!O17)</f>
        <v>0.6204700182482275</v>
      </c>
      <c r="L15" s="10">
        <f>SUM('а1 а2 а3'!O24)</f>
        <v>0.030075234589405343</v>
      </c>
      <c r="M15" s="10">
        <f>SUM('а1 а2 а3'!O29)</f>
        <v>0.34945474716236724</v>
      </c>
      <c r="N15" s="36">
        <f>SUM(K$15*J15+L$15*G15+M$15*E15)</f>
        <v>0.8492774914005348</v>
      </c>
      <c r="O15" s="10">
        <f>SUM(O3:O14)/12</f>
        <v>106.42166666666668</v>
      </c>
      <c r="P15" s="10">
        <f>SUM(P3:P14)/12</f>
        <v>3456.191666666666</v>
      </c>
      <c r="Q15" s="10">
        <f>SUM(Q3:Q14)/12</f>
        <v>4.4399999999999995</v>
      </c>
      <c r="R15" s="48">
        <f t="shared" si="6"/>
        <v>1</v>
      </c>
      <c r="S15" s="9">
        <f t="shared" si="7"/>
        <v>1</v>
      </c>
      <c r="T15" s="48">
        <f t="shared" si="8"/>
        <v>1</v>
      </c>
      <c r="U15" s="10">
        <f>SUM('q1q2'!O26)</f>
        <v>0.5492855522074679</v>
      </c>
      <c r="V15" s="10">
        <f>SUM('q1q2'!O27)</f>
        <v>0.06407570735349853</v>
      </c>
      <c r="W15" s="48">
        <f t="shared" si="9"/>
        <v>0.9999999999999998</v>
      </c>
      <c r="X15" s="14">
        <f>SUM(X3:X14)</f>
        <v>18148.30641557142</v>
      </c>
      <c r="Y15" s="48">
        <f t="shared" si="11"/>
        <v>0.8531472629555357</v>
      </c>
      <c r="Z15" s="49">
        <f>SUM(Z3:Z14)</f>
        <v>20898.500000000004</v>
      </c>
      <c r="AA15" s="73"/>
      <c r="AB15" s="50"/>
      <c r="AC15" s="47">
        <f>SUM(AC3:AC14)</f>
        <v>24340</v>
      </c>
      <c r="AD15" s="135">
        <v>366500</v>
      </c>
      <c r="AE15" s="49">
        <f t="shared" si="1"/>
        <v>16.057518488085456</v>
      </c>
      <c r="AF15" s="47">
        <f>SUM(AF3:AF14)</f>
        <v>366500</v>
      </c>
      <c r="AG15" s="53">
        <f>SUM(AG3:AG14)</f>
        <v>366500</v>
      </c>
      <c r="AH15" s="72">
        <v>29014</v>
      </c>
      <c r="AI15" s="53">
        <f>SUM(AI3:AI14)</f>
        <v>29014</v>
      </c>
      <c r="AJ15" s="151">
        <f>SUM(AJ3:AJ14)</f>
        <v>395514</v>
      </c>
      <c r="AK15" s="158">
        <f>SUM(AK3:AK14)</f>
        <v>338214.00000000006</v>
      </c>
      <c r="AL15" s="157">
        <f t="shared" si="17"/>
        <v>57299.99999999994</v>
      </c>
      <c r="AM15" s="160"/>
    </row>
    <row r="16" ht="23.25" customHeight="1">
      <c r="AD16" s="43">
        <v>309200</v>
      </c>
    </row>
    <row r="17" s="136" customFormat="1" ht="18.75">
      <c r="AD17" s="136">
        <f>SUM(AD15-AD16)</f>
        <v>57300</v>
      </c>
    </row>
    <row r="18" spans="4:32" ht="12.75" customHeight="1">
      <c r="D18" s="30"/>
      <c r="E18" s="30"/>
      <c r="F18" s="30"/>
      <c r="G18" s="30"/>
      <c r="H18" s="30"/>
      <c r="I18" s="30"/>
      <c r="J18" s="30"/>
      <c r="K18" s="30"/>
      <c r="L18" s="30"/>
      <c r="M18" s="30"/>
      <c r="W18" s="162" t="s">
        <v>179</v>
      </c>
      <c r="X18" s="162"/>
      <c r="Y18" s="162"/>
      <c r="Z18" s="162"/>
      <c r="AA18" s="162"/>
      <c r="AB18" s="162"/>
      <c r="AC18" s="162"/>
      <c r="AD18" s="162"/>
      <c r="AE18" s="162"/>
      <c r="AF18" s="162"/>
    </row>
    <row r="19" spans="4:36" s="137" customFormat="1" ht="18.75">
      <c r="D19" s="30"/>
      <c r="E19" s="30"/>
      <c r="F19" s="30"/>
      <c r="G19" s="30"/>
      <c r="H19" s="30"/>
      <c r="I19" s="30"/>
      <c r="J19" s="30"/>
      <c r="K19" s="30"/>
      <c r="L19" s="30"/>
      <c r="M19" s="30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38"/>
      <c r="AH19" s="138"/>
      <c r="AI19" s="138"/>
      <c r="AJ19" s="138"/>
    </row>
    <row r="21" spans="27:36" s="137" customFormat="1" ht="18.75">
      <c r="AA21" s="136"/>
      <c r="AB21" s="138"/>
      <c r="AC21" s="136"/>
      <c r="AD21" s="136"/>
      <c r="AE21" s="136"/>
      <c r="AF21" s="136"/>
      <c r="AG21" s="138"/>
      <c r="AH21" s="138"/>
      <c r="AI21" s="138"/>
      <c r="AJ21" s="138"/>
    </row>
  </sheetData>
  <sheetProtection/>
  <mergeCells count="2">
    <mergeCell ref="A1:AJ1"/>
    <mergeCell ref="W18:AF19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18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:AJ1"/>
    </sheetView>
  </sheetViews>
  <sheetFormatPr defaultColWidth="9.140625" defaultRowHeight="15"/>
  <cols>
    <col min="1" max="1" width="26.28125" style="23" customWidth="1"/>
    <col min="2" max="2" width="12.57421875" style="23" customWidth="1"/>
    <col min="3" max="3" width="12.8515625" style="23" customWidth="1"/>
    <col min="4" max="4" width="14.421875" style="23" customWidth="1"/>
    <col min="5" max="6" width="13.421875" style="23" customWidth="1"/>
    <col min="7" max="7" width="12.8515625" style="22" customWidth="1"/>
    <col min="8" max="8" width="13.7109375" style="22" customWidth="1"/>
    <col min="9" max="9" width="18.140625" style="22" customWidth="1"/>
    <col min="10" max="10" width="13.57421875" style="22" customWidth="1"/>
    <col min="11" max="12" width="16.28125" style="22" customWidth="1"/>
    <col min="13" max="13" width="15.421875" style="22" customWidth="1"/>
    <col min="14" max="14" width="13.57421875" style="22" customWidth="1"/>
    <col min="15" max="15" width="15.28125" style="6" customWidth="1"/>
    <col min="16" max="16" width="15.421875" style="6" customWidth="1"/>
    <col min="17" max="17" width="15.28125" style="6" customWidth="1"/>
    <col min="18" max="26" width="11.7109375" style="22" customWidth="1"/>
    <col min="27" max="27" width="11.7109375" style="43" customWidth="1"/>
    <col min="28" max="28" width="11.7109375" style="41" customWidth="1"/>
    <col min="29" max="29" width="11.7109375" style="43" customWidth="1"/>
    <col min="30" max="31" width="16.28125" style="43" customWidth="1"/>
    <col min="32" max="32" width="18.421875" style="43" customWidth="1"/>
    <col min="33" max="33" width="13.7109375" style="41" customWidth="1"/>
    <col min="34" max="34" width="17.7109375" style="41" customWidth="1"/>
    <col min="35" max="35" width="14.7109375" style="42" customWidth="1"/>
    <col min="36" max="36" width="14.57421875" style="42" customWidth="1"/>
    <col min="37" max="16384" width="9.140625" style="23" customWidth="1"/>
  </cols>
  <sheetData>
    <row r="1" spans="1:36" ht="24.75" customHeight="1">
      <c r="A1" s="163" t="s">
        <v>160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s="27" customFormat="1" ht="249" customHeight="1">
      <c r="A2" s="24" t="s">
        <v>0</v>
      </c>
      <c r="B2" s="57" t="s">
        <v>166</v>
      </c>
      <c r="C2" s="57" t="s">
        <v>167</v>
      </c>
      <c r="D2" s="57" t="s">
        <v>82</v>
      </c>
      <c r="E2" s="58" t="s">
        <v>83</v>
      </c>
      <c r="F2" s="59" t="s">
        <v>84</v>
      </c>
      <c r="G2" s="58" t="s">
        <v>85</v>
      </c>
      <c r="H2" s="59" t="s">
        <v>86</v>
      </c>
      <c r="I2" s="59" t="s">
        <v>113</v>
      </c>
      <c r="J2" s="58" t="s">
        <v>87</v>
      </c>
      <c r="K2" s="60" t="s">
        <v>88</v>
      </c>
      <c r="L2" s="60" t="s">
        <v>89</v>
      </c>
      <c r="M2" s="60" t="s">
        <v>90</v>
      </c>
      <c r="N2" s="58" t="s">
        <v>91</v>
      </c>
      <c r="O2" s="61" t="s">
        <v>92</v>
      </c>
      <c r="P2" s="61" t="s">
        <v>93</v>
      </c>
      <c r="Q2" s="61" t="s">
        <v>94</v>
      </c>
      <c r="R2" s="58" t="s">
        <v>95</v>
      </c>
      <c r="S2" s="59" t="s">
        <v>96</v>
      </c>
      <c r="T2" s="58" t="s">
        <v>97</v>
      </c>
      <c r="U2" s="59" t="s">
        <v>98</v>
      </c>
      <c r="V2" s="59" t="s">
        <v>99</v>
      </c>
      <c r="W2" s="58" t="s">
        <v>100</v>
      </c>
      <c r="X2" s="62" t="s">
        <v>35</v>
      </c>
      <c r="Y2" s="76" t="s">
        <v>101</v>
      </c>
      <c r="Z2" s="58" t="s">
        <v>102</v>
      </c>
      <c r="AA2" s="76" t="s">
        <v>103</v>
      </c>
      <c r="AB2" s="58" t="s">
        <v>104</v>
      </c>
      <c r="AC2" s="62" t="s">
        <v>105</v>
      </c>
      <c r="AD2" s="74" t="s">
        <v>106</v>
      </c>
      <c r="AE2" s="58" t="s">
        <v>107</v>
      </c>
      <c r="AF2" s="59" t="s">
        <v>108</v>
      </c>
      <c r="AG2" s="63" t="s">
        <v>109</v>
      </c>
      <c r="AH2" s="74" t="s">
        <v>110</v>
      </c>
      <c r="AI2" s="64" t="s">
        <v>111</v>
      </c>
      <c r="AJ2" s="65" t="s">
        <v>112</v>
      </c>
    </row>
    <row r="3" spans="1:36" s="30" customFormat="1" ht="18.75">
      <c r="A3" s="28" t="s">
        <v>1</v>
      </c>
      <c r="B3" s="133">
        <v>5187</v>
      </c>
      <c r="C3" s="133">
        <v>5187</v>
      </c>
      <c r="D3" s="133">
        <v>513</v>
      </c>
      <c r="E3" s="34">
        <f>(1+D3/B3)/(1+D$15/B$15)</f>
        <v>0.8971816360978924</v>
      </c>
      <c r="F3" s="134">
        <v>124.8</v>
      </c>
      <c r="G3" s="34">
        <f>(F3/B3)/(F$15/B$15)</f>
        <v>1.1500802346716292</v>
      </c>
      <c r="H3" s="29"/>
      <c r="I3" s="13"/>
      <c r="J3" s="34">
        <f aca="true" t="shared" si="0" ref="J3:J15">SUM(I$15+(1-I$15)*H$15/B3)</f>
        <v>0.812617360709466</v>
      </c>
      <c r="K3" s="8"/>
      <c r="L3" s="8"/>
      <c r="M3" s="8"/>
      <c r="N3" s="36">
        <f>SUM(K$15*J3+L$15*G3+M$15*E3)</f>
        <v>0.8523180232839243</v>
      </c>
      <c r="O3" s="134">
        <v>78.6</v>
      </c>
      <c r="P3" s="134">
        <v>1741.06</v>
      </c>
      <c r="Q3" s="134">
        <v>4.44</v>
      </c>
      <c r="R3" s="34">
        <f>SUM(0.2*O3/O$15+0.65*P3/P$15+0.15*Q3/Q$15)</f>
        <v>0.6251524296834576</v>
      </c>
      <c r="S3" s="11">
        <f>SUM(C3/B3)</f>
        <v>1</v>
      </c>
      <c r="T3" s="34">
        <f>SUM((1+0.25*S3)/(1+0.25*S$15))</f>
        <v>1</v>
      </c>
      <c r="U3" s="13"/>
      <c r="V3" s="13"/>
      <c r="W3" s="34">
        <f>SUM(U$15*T3+V$15*R3+1-U$15-V$15)</f>
        <v>0.9759813767822274</v>
      </c>
      <c r="X3" s="13">
        <f>SUM(W3*N3*B3)</f>
        <v>4314.787887937273</v>
      </c>
      <c r="Y3" s="34">
        <f>SUM(W3*N3*B$15/X$15)</f>
        <v>0.8356368643512491</v>
      </c>
      <c r="Z3" s="38">
        <f>SUM(НПn2015!N3)</f>
        <v>10192.205123618955</v>
      </c>
      <c r="AA3" s="34">
        <f>(Z3/B3)/(Z$15/B$15)</f>
        <v>1.5238398507506743</v>
      </c>
      <c r="AB3" s="34">
        <f>SUM(AA3/Y3)</f>
        <v>1.8235670489880973</v>
      </c>
      <c r="AC3" s="13">
        <f>SUM(ПНД!L5)</f>
        <v>8516</v>
      </c>
      <c r="AD3" s="70"/>
      <c r="AE3" s="38">
        <f aca="true" t="shared" si="1" ref="AE3:AE15">SUM(AC$15+AD$15)/AC$15</f>
        <v>13.048159314503332</v>
      </c>
      <c r="AF3" s="13">
        <f>SUM(AC$15/B$15)*(AE$15-AB3)*Y3*B3</f>
        <v>67271.68594852259</v>
      </c>
      <c r="AG3" s="67">
        <f>SUM(AD$15*AF3/AF$15)</f>
        <v>67271.6859485226</v>
      </c>
      <c r="AH3" s="37"/>
      <c r="AI3" s="67">
        <f>SUM(AH$15*B3/B$15)</f>
        <v>8667.67587625473</v>
      </c>
      <c r="AJ3" s="152">
        <f>SUM(AI3+AG3)</f>
        <v>75939.36182477733</v>
      </c>
    </row>
    <row r="4" spans="1:36" s="30" customFormat="1" ht="18.75">
      <c r="A4" s="28" t="s">
        <v>2</v>
      </c>
      <c r="B4" s="133">
        <v>1050</v>
      </c>
      <c r="C4" s="133">
        <v>1050</v>
      </c>
      <c r="D4" s="133">
        <v>0</v>
      </c>
      <c r="E4" s="34">
        <f aca="true" t="shared" si="2" ref="E4:E15">(1+D4/B4)/(1+D$15/B$15)</f>
        <v>0.816435288849082</v>
      </c>
      <c r="F4" s="134">
        <v>13.3</v>
      </c>
      <c r="G4" s="34">
        <f aca="true" t="shared" si="3" ref="G4:G15">(F4/B4)/(F$15/B$15)</f>
        <v>0.605469323544835</v>
      </c>
      <c r="H4" s="29"/>
      <c r="I4" s="13"/>
      <c r="J4" s="34">
        <f t="shared" si="0"/>
        <v>1.1184297619047618</v>
      </c>
      <c r="K4" s="8"/>
      <c r="L4" s="8"/>
      <c r="M4" s="8"/>
      <c r="N4" s="36">
        <f aca="true" t="shared" si="4" ref="N4:N14">SUM(K$15*J4+L$15*G4+M$15*E4)</f>
        <v>0.997468954159898</v>
      </c>
      <c r="O4" s="134">
        <v>102.73</v>
      </c>
      <c r="P4" s="134">
        <v>4313.79</v>
      </c>
      <c r="Q4" s="134">
        <v>4.44</v>
      </c>
      <c r="R4" s="34">
        <f aca="true" t="shared" si="5" ref="R4:R15">SUM(0.2*O4/O$15+0.65*P4/P$15+0.15*Q4/Q$15)</f>
        <v>1.154349227714031</v>
      </c>
      <c r="S4" s="11">
        <f aca="true" t="shared" si="6" ref="S4:S15">SUM(C4/B4)</f>
        <v>1</v>
      </c>
      <c r="T4" s="34">
        <f aca="true" t="shared" si="7" ref="T4:T15">SUM((1+0.25*S4)/(1+0.25*S$15))</f>
        <v>1</v>
      </c>
      <c r="U4" s="13"/>
      <c r="V4" s="13"/>
      <c r="W4" s="34">
        <f aca="true" t="shared" si="8" ref="W4:W15">SUM(U$15*T4+V$15*R4+1-U$15-V$15)</f>
        <v>1.0098900359452425</v>
      </c>
      <c r="X4" s="13">
        <f aca="true" t="shared" si="9" ref="X4:X14">SUM(W4*N4*B4)</f>
        <v>1057.700655869343</v>
      </c>
      <c r="Y4" s="34">
        <f aca="true" t="shared" si="10" ref="Y4:Y15">SUM(W4*N4*B$15/X$15)</f>
        <v>1.0119239210116386</v>
      </c>
      <c r="Z4" s="38">
        <f>SUM(НПn2015!N4)</f>
        <v>2251.256298754661</v>
      </c>
      <c r="AA4" s="34">
        <f aca="true" t="shared" si="11" ref="AA4:AA14">(Z4/B4)/(Z$15/B$15)</f>
        <v>1.6627350864897015</v>
      </c>
      <c r="AB4" s="34">
        <f aca="true" t="shared" si="12" ref="AB4:AB14">SUM(AA4/Y4)</f>
        <v>1.6431423864626455</v>
      </c>
      <c r="AC4" s="13">
        <f>SUM(ПНД!L6)</f>
        <v>3392</v>
      </c>
      <c r="AD4" s="70"/>
      <c r="AE4" s="38">
        <f t="shared" si="1"/>
        <v>13.048159314503332</v>
      </c>
      <c r="AF4" s="13">
        <f aca="true" t="shared" si="13" ref="AF4:AF14">SUM(AC$15/B$15)*(AE$15-AB4)*Y4*B4</f>
        <v>16755.63899405559</v>
      </c>
      <c r="AG4" s="67">
        <f aca="true" t="shared" si="14" ref="AG4:AG14">SUM(AD$15*AF4/AF$15)</f>
        <v>16755.638994055593</v>
      </c>
      <c r="AH4" s="37"/>
      <c r="AI4" s="67">
        <f aca="true" t="shared" si="15" ref="AI4:AI14">SUM(AH$15*B4/B$15)</f>
        <v>1754.5902583511602</v>
      </c>
      <c r="AJ4" s="152">
        <f aca="true" t="shared" si="16" ref="AJ4:AJ14">SUM(AI4+AG4)</f>
        <v>18510.229252406752</v>
      </c>
    </row>
    <row r="5" spans="1:36" s="30" customFormat="1" ht="18.75">
      <c r="A5" s="28" t="s">
        <v>3</v>
      </c>
      <c r="B5" s="133">
        <v>1273</v>
      </c>
      <c r="C5" s="133">
        <v>1273</v>
      </c>
      <c r="D5" s="133">
        <v>592</v>
      </c>
      <c r="E5" s="34">
        <f t="shared" si="2"/>
        <v>1.196112972273007</v>
      </c>
      <c r="F5" s="134">
        <v>26.7</v>
      </c>
      <c r="G5" s="34">
        <f t="shared" si="3"/>
        <v>1.002565279198356</v>
      </c>
      <c r="H5" s="29"/>
      <c r="I5" s="13"/>
      <c r="J5" s="34">
        <f t="shared" si="0"/>
        <v>1.0512617831893165</v>
      </c>
      <c r="K5" s="8"/>
      <c r="L5" s="8"/>
      <c r="M5" s="8"/>
      <c r="N5" s="36">
        <f t="shared" si="4"/>
        <v>1.1004161600655138</v>
      </c>
      <c r="O5" s="134">
        <v>102.73</v>
      </c>
      <c r="P5" s="134">
        <v>2622.22</v>
      </c>
      <c r="Q5" s="134">
        <v>4.44</v>
      </c>
      <c r="R5" s="34">
        <f t="shared" si="5"/>
        <v>0.8362185781310363</v>
      </c>
      <c r="S5" s="11">
        <f t="shared" si="6"/>
        <v>1</v>
      </c>
      <c r="T5" s="34">
        <f t="shared" si="7"/>
        <v>1</v>
      </c>
      <c r="U5" s="13"/>
      <c r="V5" s="13"/>
      <c r="W5" s="34">
        <f t="shared" si="8"/>
        <v>0.9895055895423843</v>
      </c>
      <c r="X5" s="13">
        <f t="shared" si="9"/>
        <v>1386.1288891572658</v>
      </c>
      <c r="Y5" s="34">
        <f t="shared" si="10"/>
        <v>1.0938294175550811</v>
      </c>
      <c r="Z5" s="38">
        <f>SUM(НПn2015!N5)</f>
        <v>2297.3604118813964</v>
      </c>
      <c r="AA5" s="34">
        <f t="shared" si="11"/>
        <v>1.3995491303922256</v>
      </c>
      <c r="AB5" s="34">
        <f t="shared" si="12"/>
        <v>1.2794948718059593</v>
      </c>
      <c r="AC5" s="13">
        <f>SUM(ПНД!L7)</f>
        <v>2563</v>
      </c>
      <c r="AD5" s="70"/>
      <c r="AE5" s="38">
        <f t="shared" si="1"/>
        <v>13.048159314503332</v>
      </c>
      <c r="AF5" s="13">
        <f t="shared" si="13"/>
        <v>22658.60048285399</v>
      </c>
      <c r="AG5" s="67">
        <f t="shared" si="14"/>
        <v>22658.600482853995</v>
      </c>
      <c r="AH5" s="37"/>
      <c r="AI5" s="67">
        <f t="shared" si="15"/>
        <v>2127.2318084581207</v>
      </c>
      <c r="AJ5" s="152">
        <f t="shared" si="16"/>
        <v>24785.832291312116</v>
      </c>
    </row>
    <row r="6" spans="1:36" s="30" customFormat="1" ht="18.75">
      <c r="A6" s="28" t="s">
        <v>4</v>
      </c>
      <c r="B6" s="133">
        <v>805</v>
      </c>
      <c r="C6" s="133">
        <v>805</v>
      </c>
      <c r="D6" s="133">
        <v>52</v>
      </c>
      <c r="E6" s="34">
        <f t="shared" si="2"/>
        <v>0.8691739658927493</v>
      </c>
      <c r="F6" s="134">
        <v>17.4</v>
      </c>
      <c r="G6" s="34">
        <f t="shared" si="3"/>
        <v>1.0331970803870671</v>
      </c>
      <c r="H6" s="29"/>
      <c r="I6" s="13"/>
      <c r="J6" s="34">
        <f t="shared" si="0"/>
        <v>1.2351257763975156</v>
      </c>
      <c r="K6" s="8"/>
      <c r="L6" s="8"/>
      <c r="M6" s="8"/>
      <c r="N6" s="36">
        <f t="shared" si="4"/>
        <v>1.101169126081115</v>
      </c>
      <c r="O6" s="134">
        <v>188.31</v>
      </c>
      <c r="P6" s="134">
        <v>3423.89</v>
      </c>
      <c r="Q6" s="134">
        <v>4.44</v>
      </c>
      <c r="R6" s="34">
        <f t="shared" si="5"/>
        <v>1.147819181827531</v>
      </c>
      <c r="S6" s="11">
        <f t="shared" si="6"/>
        <v>1</v>
      </c>
      <c r="T6" s="34">
        <f t="shared" si="7"/>
        <v>1</v>
      </c>
      <c r="U6" s="13"/>
      <c r="V6" s="13"/>
      <c r="W6" s="34">
        <f t="shared" si="8"/>
        <v>1.0094716186360142</v>
      </c>
      <c r="X6" s="13">
        <f t="shared" si="9"/>
        <v>894.8371789781721</v>
      </c>
      <c r="Y6" s="34">
        <f t="shared" si="10"/>
        <v>1.1166640314581826</v>
      </c>
      <c r="Z6" s="38">
        <f>SUM(НПn2015!N6)</f>
        <v>529.6757262666704</v>
      </c>
      <c r="AA6" s="34">
        <f t="shared" si="11"/>
        <v>0.510271849204353</v>
      </c>
      <c r="AB6" s="34">
        <f t="shared" si="12"/>
        <v>0.4569609433358577</v>
      </c>
      <c r="AC6" s="13">
        <f>SUM(ПНД!L13)</f>
        <v>577</v>
      </c>
      <c r="AD6" s="70"/>
      <c r="AE6" s="38">
        <f t="shared" si="1"/>
        <v>13.048159314503332</v>
      </c>
      <c r="AF6" s="13">
        <f t="shared" si="13"/>
        <v>15649.96508886827</v>
      </c>
      <c r="AG6" s="67">
        <f t="shared" si="14"/>
        <v>15649.965088868274</v>
      </c>
      <c r="AH6" s="37"/>
      <c r="AI6" s="67">
        <f t="shared" si="15"/>
        <v>1345.1858647358895</v>
      </c>
      <c r="AJ6" s="152">
        <f t="shared" si="16"/>
        <v>16995.150953604163</v>
      </c>
    </row>
    <row r="7" spans="1:36" s="30" customFormat="1" ht="18.75">
      <c r="A7" s="28" t="s">
        <v>5</v>
      </c>
      <c r="B7" s="133">
        <v>1068</v>
      </c>
      <c r="C7" s="133">
        <v>1068</v>
      </c>
      <c r="D7" s="133">
        <v>295</v>
      </c>
      <c r="E7" s="34">
        <f t="shared" si="2"/>
        <v>1.0419487815555233</v>
      </c>
      <c r="F7" s="134">
        <v>22.5</v>
      </c>
      <c r="G7" s="34">
        <f t="shared" si="3"/>
        <v>1.0070268908751319</v>
      </c>
      <c r="H7" s="29"/>
      <c r="I7" s="13"/>
      <c r="J7" s="34">
        <f t="shared" si="0"/>
        <v>1.1119674625468163</v>
      </c>
      <c r="K7" s="8"/>
      <c r="L7" s="8"/>
      <c r="M7" s="8"/>
      <c r="N7" s="36">
        <f t="shared" si="4"/>
        <v>1.0843429897733894</v>
      </c>
      <c r="O7" s="134">
        <v>188.31</v>
      </c>
      <c r="P7" s="134">
        <v>4297.45</v>
      </c>
      <c r="Q7" s="134">
        <v>4.44</v>
      </c>
      <c r="R7" s="34">
        <f t="shared" si="5"/>
        <v>1.3121081029184234</v>
      </c>
      <c r="S7" s="11">
        <f t="shared" si="6"/>
        <v>1</v>
      </c>
      <c r="T7" s="34">
        <f t="shared" si="7"/>
        <v>1</v>
      </c>
      <c r="U7" s="13"/>
      <c r="V7" s="13"/>
      <c r="W7" s="34">
        <f t="shared" si="8"/>
        <v>1.0199985474652566</v>
      </c>
      <c r="X7" s="13">
        <f t="shared" si="9"/>
        <v>1181.2381971905543</v>
      </c>
      <c r="Y7" s="34">
        <f t="shared" si="10"/>
        <v>1.1110679427104966</v>
      </c>
      <c r="Z7" s="38">
        <f>SUM(НПn2015!N7)</f>
        <v>888.4734801451871</v>
      </c>
      <c r="AA7" s="34">
        <f t="shared" si="11"/>
        <v>0.645149902291954</v>
      </c>
      <c r="AB7" s="34">
        <f t="shared" si="12"/>
        <v>0.5806574715116737</v>
      </c>
      <c r="AC7" s="13">
        <f>SUM(ПНД!L9)</f>
        <v>1240</v>
      </c>
      <c r="AD7" s="70"/>
      <c r="AE7" s="38">
        <f t="shared" si="1"/>
        <v>13.048159314503332</v>
      </c>
      <c r="AF7" s="13">
        <f t="shared" si="13"/>
        <v>20455.929115727708</v>
      </c>
      <c r="AG7" s="67">
        <f t="shared" si="14"/>
        <v>20455.92911572771</v>
      </c>
      <c r="AH7" s="37"/>
      <c r="AI7" s="67">
        <f t="shared" si="15"/>
        <v>1784.6689484943229</v>
      </c>
      <c r="AJ7" s="152">
        <f t="shared" si="16"/>
        <v>22240.598064222035</v>
      </c>
    </row>
    <row r="8" spans="1:36" s="30" customFormat="1" ht="18.75">
      <c r="A8" s="28" t="s">
        <v>6</v>
      </c>
      <c r="B8" s="133">
        <v>1320</v>
      </c>
      <c r="C8" s="133">
        <v>1320</v>
      </c>
      <c r="D8" s="133">
        <v>470</v>
      </c>
      <c r="E8" s="34">
        <f t="shared" si="2"/>
        <v>1.1071357326059519</v>
      </c>
      <c r="F8" s="134">
        <v>25.7</v>
      </c>
      <c r="G8" s="34">
        <f t="shared" si="3"/>
        <v>0.9306555989893694</v>
      </c>
      <c r="H8" s="29"/>
      <c r="I8" s="13"/>
      <c r="J8" s="34">
        <f t="shared" si="0"/>
        <v>1.040000946969697</v>
      </c>
      <c r="K8" s="8"/>
      <c r="L8" s="8"/>
      <c r="M8" s="8"/>
      <c r="N8" s="36">
        <f t="shared" si="4"/>
        <v>1.0601729295182456</v>
      </c>
      <c r="O8" s="134">
        <v>102.73</v>
      </c>
      <c r="P8" s="134">
        <v>4053.83</v>
      </c>
      <c r="Q8" s="134">
        <v>4.44</v>
      </c>
      <c r="R8" s="34">
        <f t="shared" si="5"/>
        <v>1.105458999307524</v>
      </c>
      <c r="S8" s="11">
        <f t="shared" si="6"/>
        <v>1</v>
      </c>
      <c r="T8" s="34">
        <f t="shared" si="7"/>
        <v>1</v>
      </c>
      <c r="U8" s="13"/>
      <c r="V8" s="13"/>
      <c r="W8" s="34">
        <f t="shared" si="8"/>
        <v>1.0067573599774218</v>
      </c>
      <c r="X8" s="13">
        <f t="shared" si="9"/>
        <v>1408.88470752654</v>
      </c>
      <c r="Y8" s="34">
        <f t="shared" si="10"/>
        <v>1.0722002688176562</v>
      </c>
      <c r="Z8" s="38">
        <f>SUM(НПn2015!N8)</f>
        <v>1820.2480897928915</v>
      </c>
      <c r="AA8" s="34">
        <f t="shared" si="11"/>
        <v>1.0694095845113198</v>
      </c>
      <c r="AB8" s="34">
        <f t="shared" si="12"/>
        <v>0.9973972359572212</v>
      </c>
      <c r="AC8" s="13">
        <f>SUM(ПНД!L14)</f>
        <v>1648</v>
      </c>
      <c r="AD8" s="70"/>
      <c r="AE8" s="38">
        <f t="shared" si="1"/>
        <v>13.048159314503332</v>
      </c>
      <c r="AF8" s="13">
        <f t="shared" si="13"/>
        <v>23582.630925381927</v>
      </c>
      <c r="AG8" s="67">
        <f t="shared" si="14"/>
        <v>23582.63092538193</v>
      </c>
      <c r="AH8" s="37"/>
      <c r="AI8" s="67">
        <f t="shared" si="15"/>
        <v>2205.7706104986014</v>
      </c>
      <c r="AJ8" s="152">
        <f t="shared" si="16"/>
        <v>25788.401535880534</v>
      </c>
    </row>
    <row r="9" spans="1:36" s="30" customFormat="1" ht="18.75">
      <c r="A9" s="28" t="s">
        <v>7</v>
      </c>
      <c r="B9" s="133">
        <v>3056</v>
      </c>
      <c r="C9" s="133">
        <v>3056</v>
      </c>
      <c r="D9" s="133">
        <v>949</v>
      </c>
      <c r="E9" s="34">
        <f t="shared" si="2"/>
        <v>1.0699683677488787</v>
      </c>
      <c r="F9" s="134">
        <v>65.7</v>
      </c>
      <c r="G9" s="34">
        <f t="shared" si="3"/>
        <v>1.0276419439815287</v>
      </c>
      <c r="H9" s="29"/>
      <c r="I9" s="13"/>
      <c r="J9" s="34">
        <f t="shared" si="0"/>
        <v>0.8667412467277487</v>
      </c>
      <c r="K9" s="8"/>
      <c r="L9" s="8"/>
      <c r="M9" s="8"/>
      <c r="N9" s="36">
        <f t="shared" si="4"/>
        <v>0.94259905513623</v>
      </c>
      <c r="O9" s="134">
        <v>102.73</v>
      </c>
      <c r="P9" s="134">
        <v>3075.41</v>
      </c>
      <c r="Q9" s="134">
        <v>4.44</v>
      </c>
      <c r="R9" s="34">
        <f t="shared" si="5"/>
        <v>0.9214492390463501</v>
      </c>
      <c r="S9" s="11">
        <f t="shared" si="6"/>
        <v>1</v>
      </c>
      <c r="T9" s="34">
        <f t="shared" si="7"/>
        <v>1</v>
      </c>
      <c r="U9" s="13"/>
      <c r="V9" s="13"/>
      <c r="W9" s="34">
        <f t="shared" si="8"/>
        <v>0.9949668044287392</v>
      </c>
      <c r="X9" s="13">
        <f t="shared" si="9"/>
        <v>2866.0841763451317</v>
      </c>
      <c r="Y9" s="34">
        <f t="shared" si="10"/>
        <v>0.9421281477029252</v>
      </c>
      <c r="Z9" s="38">
        <f>SUM(НПn2015!N9)</f>
        <v>2370.3322629079967</v>
      </c>
      <c r="AA9" s="34">
        <f t="shared" si="11"/>
        <v>0.6015106169507396</v>
      </c>
      <c r="AB9" s="34">
        <f t="shared" si="12"/>
        <v>0.6384594478121991</v>
      </c>
      <c r="AC9" s="13">
        <f>SUM(ПНД!L12)</f>
        <v>3009</v>
      </c>
      <c r="AD9" s="70"/>
      <c r="AE9" s="38">
        <f t="shared" si="1"/>
        <v>13.048159314503332</v>
      </c>
      <c r="AF9" s="13">
        <f t="shared" si="13"/>
        <v>49402.90718246923</v>
      </c>
      <c r="AG9" s="67">
        <f t="shared" si="14"/>
        <v>49402.90718246924</v>
      </c>
      <c r="AH9" s="37"/>
      <c r="AI9" s="67">
        <f t="shared" si="15"/>
        <v>5106.6931709725195</v>
      </c>
      <c r="AJ9" s="152">
        <f t="shared" si="16"/>
        <v>54509.600353441754</v>
      </c>
    </row>
    <row r="10" spans="1:36" s="30" customFormat="1" ht="18.75">
      <c r="A10" s="28" t="s">
        <v>8</v>
      </c>
      <c r="B10" s="133">
        <v>917</v>
      </c>
      <c r="C10" s="133">
        <v>917</v>
      </c>
      <c r="D10" s="133">
        <v>257</v>
      </c>
      <c r="E10" s="34">
        <f t="shared" si="2"/>
        <v>1.0452508496279413</v>
      </c>
      <c r="F10" s="134">
        <v>19.3</v>
      </c>
      <c r="G10" s="34">
        <f t="shared" si="3"/>
        <v>1.0060458541366568</v>
      </c>
      <c r="H10" s="29"/>
      <c r="I10" s="13"/>
      <c r="J10" s="34">
        <f t="shared" si="0"/>
        <v>1.174041712104689</v>
      </c>
      <c r="K10" s="8"/>
      <c r="L10" s="8"/>
      <c r="M10" s="8"/>
      <c r="N10" s="36">
        <f t="shared" si="4"/>
        <v>1.123982618982617</v>
      </c>
      <c r="O10" s="134">
        <v>102.73</v>
      </c>
      <c r="P10" s="134">
        <v>3582.3</v>
      </c>
      <c r="Q10" s="134">
        <v>4.44</v>
      </c>
      <c r="R10" s="34">
        <f t="shared" si="5"/>
        <v>1.0167791662542838</v>
      </c>
      <c r="S10" s="11">
        <f t="shared" si="6"/>
        <v>1</v>
      </c>
      <c r="T10" s="34">
        <f t="shared" si="7"/>
        <v>1</v>
      </c>
      <c r="U10" s="13"/>
      <c r="V10" s="13"/>
      <c r="W10" s="34">
        <f t="shared" si="8"/>
        <v>1.0010751369465452</v>
      </c>
      <c r="X10" s="13">
        <f t="shared" si="9"/>
        <v>1031.8001967230043</v>
      </c>
      <c r="Y10" s="34">
        <f t="shared" si="10"/>
        <v>1.1303180384892035</v>
      </c>
      <c r="Z10" s="38">
        <f>SUM(НПn2015!N10)</f>
        <v>495.968781364019</v>
      </c>
      <c r="AA10" s="34">
        <f t="shared" si="11"/>
        <v>0.41944249153918195</v>
      </c>
      <c r="AB10" s="34">
        <f t="shared" si="12"/>
        <v>0.37108360413305774</v>
      </c>
      <c r="AC10" s="13">
        <f>SUM(ПНД!L10)</f>
        <v>611</v>
      </c>
      <c r="AD10" s="70"/>
      <c r="AE10" s="38">
        <f t="shared" si="1"/>
        <v>13.048159314503332</v>
      </c>
      <c r="AF10" s="13">
        <f t="shared" si="13"/>
        <v>18168.41231691817</v>
      </c>
      <c r="AG10" s="67">
        <f t="shared" si="14"/>
        <v>18168.412316918173</v>
      </c>
      <c r="AH10" s="37"/>
      <c r="AI10" s="67">
        <f t="shared" si="15"/>
        <v>1532.3421589600132</v>
      </c>
      <c r="AJ10" s="152">
        <f t="shared" si="16"/>
        <v>19700.754475878188</v>
      </c>
    </row>
    <row r="11" spans="1:36" s="30" customFormat="1" ht="18.75">
      <c r="A11" s="28" t="s">
        <v>9</v>
      </c>
      <c r="B11" s="133">
        <v>1092</v>
      </c>
      <c r="C11" s="133">
        <v>1092</v>
      </c>
      <c r="D11" s="133">
        <v>262</v>
      </c>
      <c r="E11" s="34">
        <f t="shared" si="2"/>
        <v>1.0123199460637884</v>
      </c>
      <c r="F11" s="134">
        <v>16.7</v>
      </c>
      <c r="G11" s="34">
        <f t="shared" si="3"/>
        <v>0.7310105337766587</v>
      </c>
      <c r="H11" s="29"/>
      <c r="I11" s="13"/>
      <c r="J11" s="34">
        <f t="shared" si="0"/>
        <v>1.1036824633699633</v>
      </c>
      <c r="K11" s="8"/>
      <c r="L11" s="8"/>
      <c r="M11" s="8"/>
      <c r="N11" s="36">
        <f t="shared" si="4"/>
        <v>1.0605472022772116</v>
      </c>
      <c r="O11" s="134">
        <v>102.73</v>
      </c>
      <c r="P11" s="134">
        <v>3556.63</v>
      </c>
      <c r="Q11" s="134">
        <v>4.44</v>
      </c>
      <c r="R11" s="34">
        <f t="shared" si="5"/>
        <v>1.0119514536708285</v>
      </c>
      <c r="S11" s="11">
        <f t="shared" si="6"/>
        <v>1</v>
      </c>
      <c r="T11" s="34">
        <f t="shared" si="7"/>
        <v>1</v>
      </c>
      <c r="U11" s="13"/>
      <c r="V11" s="13"/>
      <c r="W11" s="34">
        <f t="shared" si="8"/>
        <v>1.0007657978478608</v>
      </c>
      <c r="X11" s="13">
        <f t="shared" si="9"/>
        <v>1159.0044288101592</v>
      </c>
      <c r="Y11" s="34">
        <f t="shared" si="10"/>
        <v>1.0661954993191791</v>
      </c>
      <c r="Z11" s="38">
        <f>SUM(НПn2015!N11)</f>
        <v>554.7182429544963</v>
      </c>
      <c r="AA11" s="34">
        <f t="shared" si="11"/>
        <v>0.39394648487985795</v>
      </c>
      <c r="AB11" s="34">
        <f t="shared" si="12"/>
        <v>0.3694880396056944</v>
      </c>
      <c r="AC11" s="13">
        <f>SUM(ПНД!L15)</f>
        <v>808</v>
      </c>
      <c r="AD11" s="70"/>
      <c r="AE11" s="38">
        <f t="shared" si="1"/>
        <v>13.048159314503332</v>
      </c>
      <c r="AF11" s="13">
        <f t="shared" si="13"/>
        <v>20410.85155908079</v>
      </c>
      <c r="AG11" s="67">
        <f t="shared" si="14"/>
        <v>20410.851559080795</v>
      </c>
      <c r="AH11" s="37"/>
      <c r="AI11" s="67">
        <f t="shared" si="15"/>
        <v>1824.7738686852067</v>
      </c>
      <c r="AJ11" s="152">
        <f t="shared" si="16"/>
        <v>22235.625427766</v>
      </c>
    </row>
    <row r="12" spans="1:36" s="30" customFormat="1" ht="18.75">
      <c r="A12" s="28" t="s">
        <v>10</v>
      </c>
      <c r="B12" s="133">
        <v>1347</v>
      </c>
      <c r="C12" s="133">
        <v>1347</v>
      </c>
      <c r="D12" s="133">
        <v>416</v>
      </c>
      <c r="E12" s="34">
        <f t="shared" si="2"/>
        <v>1.068578629726007</v>
      </c>
      <c r="F12" s="134">
        <v>31.1</v>
      </c>
      <c r="G12" s="34">
        <f t="shared" si="3"/>
        <v>1.1036277084892958</v>
      </c>
      <c r="H12" s="29"/>
      <c r="I12" s="13"/>
      <c r="J12" s="34">
        <f t="shared" si="0"/>
        <v>1.0338873422420192</v>
      </c>
      <c r="K12" s="8"/>
      <c r="L12" s="8"/>
      <c r="M12" s="8"/>
      <c r="N12" s="36">
        <f t="shared" si="4"/>
        <v>1.048107835213711</v>
      </c>
      <c r="O12" s="134">
        <v>102.73</v>
      </c>
      <c r="P12" s="134">
        <v>3582.3</v>
      </c>
      <c r="Q12" s="134">
        <v>4.44</v>
      </c>
      <c r="R12" s="34">
        <f t="shared" si="5"/>
        <v>1.0167791662542838</v>
      </c>
      <c r="S12" s="11">
        <f t="shared" si="6"/>
        <v>1</v>
      </c>
      <c r="T12" s="34">
        <f t="shared" si="7"/>
        <v>1</v>
      </c>
      <c r="U12" s="13"/>
      <c r="V12" s="13"/>
      <c r="W12" s="34">
        <f t="shared" si="8"/>
        <v>1.0010751369465452</v>
      </c>
      <c r="X12" s="13">
        <f t="shared" si="9"/>
        <v>1413.3191337222581</v>
      </c>
      <c r="Y12" s="34">
        <f t="shared" si="10"/>
        <v>1.0540155803265576</v>
      </c>
      <c r="Z12" s="38">
        <f>SUM(НПn2015!N12)</f>
        <v>1335.8023564428358</v>
      </c>
      <c r="AA12" s="34">
        <f t="shared" si="11"/>
        <v>0.7690631968298298</v>
      </c>
      <c r="AB12" s="34">
        <f t="shared" si="12"/>
        <v>0.7296506913034025</v>
      </c>
      <c r="AC12" s="13">
        <f>SUM(ПНД!L11)</f>
        <v>1533</v>
      </c>
      <c r="AD12" s="70"/>
      <c r="AE12" s="38">
        <f t="shared" si="1"/>
        <v>13.048159314503332</v>
      </c>
      <c r="AF12" s="13">
        <f t="shared" si="13"/>
        <v>24182.469978820103</v>
      </c>
      <c r="AG12" s="67">
        <f t="shared" si="14"/>
        <v>24182.469978820107</v>
      </c>
      <c r="AH12" s="37"/>
      <c r="AI12" s="67">
        <f t="shared" si="15"/>
        <v>2250.8886457133453</v>
      </c>
      <c r="AJ12" s="152">
        <f t="shared" si="16"/>
        <v>26433.35862453345</v>
      </c>
    </row>
    <row r="13" spans="1:36" s="30" customFormat="1" ht="18.75">
      <c r="A13" s="28" t="s">
        <v>11</v>
      </c>
      <c r="B13" s="133">
        <v>823</v>
      </c>
      <c r="C13" s="133">
        <v>823</v>
      </c>
      <c r="D13" s="133">
        <v>0</v>
      </c>
      <c r="E13" s="34">
        <f t="shared" si="2"/>
        <v>0.816435288849082</v>
      </c>
      <c r="F13" s="134">
        <v>12.9</v>
      </c>
      <c r="G13" s="34">
        <f t="shared" si="3"/>
        <v>0.7492377956508636</v>
      </c>
      <c r="H13" s="29"/>
      <c r="I13" s="13"/>
      <c r="J13" s="34">
        <f t="shared" si="0"/>
        <v>1.2241874240583233</v>
      </c>
      <c r="K13" s="8"/>
      <c r="L13" s="8"/>
      <c r="M13" s="8"/>
      <c r="N13" s="36">
        <f t="shared" si="4"/>
        <v>1.0674122832513573</v>
      </c>
      <c r="O13" s="134">
        <v>102.73</v>
      </c>
      <c r="P13" s="134">
        <v>4297.45</v>
      </c>
      <c r="Q13" s="134">
        <v>4.44</v>
      </c>
      <c r="R13" s="34">
        <f t="shared" si="5"/>
        <v>1.1512761921233157</v>
      </c>
      <c r="S13" s="11">
        <f t="shared" si="6"/>
        <v>1</v>
      </c>
      <c r="T13" s="34">
        <f t="shared" si="7"/>
        <v>1</v>
      </c>
      <c r="U13" s="13"/>
      <c r="V13" s="13"/>
      <c r="W13" s="34">
        <f t="shared" si="8"/>
        <v>1.0096931290160451</v>
      </c>
      <c r="X13" s="13">
        <f t="shared" si="9"/>
        <v>886.9955320901823</v>
      </c>
      <c r="Y13" s="34">
        <f t="shared" si="10"/>
        <v>1.082669705485774</v>
      </c>
      <c r="Z13" s="38">
        <f>SUM(НПn2015!N13)</f>
        <v>543.27410883621</v>
      </c>
      <c r="AA13" s="34">
        <f t="shared" si="11"/>
        <v>0.5119252985299835</v>
      </c>
      <c r="AB13" s="34">
        <f t="shared" si="12"/>
        <v>0.47283607912562037</v>
      </c>
      <c r="AC13" s="13">
        <f>SUM(ПНД!L8)</f>
        <v>970</v>
      </c>
      <c r="AD13" s="70"/>
      <c r="AE13" s="38">
        <f t="shared" si="1"/>
        <v>13.048159314503332</v>
      </c>
      <c r="AF13" s="13">
        <f t="shared" si="13"/>
        <v>15493.262391528942</v>
      </c>
      <c r="AG13" s="67">
        <f t="shared" si="14"/>
        <v>15493.262391528946</v>
      </c>
      <c r="AH13" s="37"/>
      <c r="AI13" s="67">
        <f t="shared" si="15"/>
        <v>1375.2645548790522</v>
      </c>
      <c r="AJ13" s="152">
        <f t="shared" si="16"/>
        <v>16868.526946407997</v>
      </c>
    </row>
    <row r="14" spans="1:36" s="30" customFormat="1" ht="18.75">
      <c r="A14" s="28" t="s">
        <v>12</v>
      </c>
      <c r="B14" s="133">
        <v>293</v>
      </c>
      <c r="C14" s="133">
        <v>293</v>
      </c>
      <c r="D14" s="133">
        <v>293</v>
      </c>
      <c r="E14" s="34">
        <f t="shared" si="2"/>
        <v>1.632870577698164</v>
      </c>
      <c r="F14" s="134">
        <v>5.3</v>
      </c>
      <c r="G14" s="34">
        <f t="shared" si="3"/>
        <v>0.8646454324019107</v>
      </c>
      <c r="H14" s="29"/>
      <c r="I14" s="13"/>
      <c r="J14" s="34">
        <f t="shared" si="0"/>
        <v>2.109065699658703</v>
      </c>
      <c r="K14" s="8"/>
      <c r="L14" s="8"/>
      <c r="M14" s="8"/>
      <c r="N14" s="36">
        <f t="shared" si="4"/>
        <v>1.905230822248472</v>
      </c>
      <c r="O14" s="134">
        <v>0</v>
      </c>
      <c r="P14" s="134">
        <v>2927.97</v>
      </c>
      <c r="Q14" s="134">
        <v>4.44</v>
      </c>
      <c r="R14" s="34">
        <f t="shared" si="5"/>
        <v>0.7006582630689367</v>
      </c>
      <c r="S14" s="11">
        <f t="shared" si="6"/>
        <v>1</v>
      </c>
      <c r="T14" s="34">
        <f t="shared" si="7"/>
        <v>1</v>
      </c>
      <c r="U14" s="13"/>
      <c r="V14" s="13"/>
      <c r="W14" s="34">
        <f t="shared" si="8"/>
        <v>0.9808194664657173</v>
      </c>
      <c r="X14" s="13">
        <f t="shared" si="9"/>
        <v>547.5254312215334</v>
      </c>
      <c r="Y14" s="34">
        <f t="shared" si="10"/>
        <v>1.8772022381444657</v>
      </c>
      <c r="Z14" s="38">
        <f>SUM(НПn2015!N14)</f>
        <v>229.08511703468236</v>
      </c>
      <c r="AA14" s="34">
        <f t="shared" si="11"/>
        <v>0.606340635115554</v>
      </c>
      <c r="AB14" s="34">
        <f t="shared" si="12"/>
        <v>0.32300229713922346</v>
      </c>
      <c r="AC14" s="13">
        <f>SUM(ПНД!L16)</f>
        <v>341</v>
      </c>
      <c r="AD14" s="70"/>
      <c r="AE14" s="38">
        <f t="shared" si="1"/>
        <v>13.048159314503332</v>
      </c>
      <c r="AF14" s="13">
        <f t="shared" si="13"/>
        <v>9677.646015772612</v>
      </c>
      <c r="AG14" s="67">
        <f t="shared" si="14"/>
        <v>9677.646015772614</v>
      </c>
      <c r="AH14" s="37"/>
      <c r="AI14" s="67">
        <f t="shared" si="15"/>
        <v>489.614233997038</v>
      </c>
      <c r="AJ14" s="152">
        <f t="shared" si="16"/>
        <v>10167.260249769652</v>
      </c>
    </row>
    <row r="15" spans="1:36" s="32" customFormat="1" ht="18.75">
      <c r="A15" s="28" t="s">
        <v>13</v>
      </c>
      <c r="B15" s="31">
        <f>SUM(B3:B14)</f>
        <v>18231</v>
      </c>
      <c r="C15" s="31">
        <f>SUM(C3:C14)</f>
        <v>18231</v>
      </c>
      <c r="D15" s="31">
        <f>SUM(D3:D14)</f>
        <v>4099</v>
      </c>
      <c r="E15" s="48">
        <f t="shared" si="2"/>
        <v>1</v>
      </c>
      <c r="F15" s="10">
        <f>SUM(F3:F14)</f>
        <v>381.4</v>
      </c>
      <c r="G15" s="48">
        <f t="shared" si="3"/>
        <v>1</v>
      </c>
      <c r="H15" s="31">
        <f>B15/12</f>
        <v>1519.25</v>
      </c>
      <c r="I15" s="9">
        <v>0.735</v>
      </c>
      <c r="J15" s="48">
        <f t="shared" si="0"/>
        <v>0.7570833333333333</v>
      </c>
      <c r="K15" s="10">
        <f>SUM('а1 а2 а3'!O17)</f>
        <v>0.6204700182482275</v>
      </c>
      <c r="L15" s="10">
        <f>SUM('а1 а2 а3'!O24)</f>
        <v>0.030075234589405343</v>
      </c>
      <c r="M15" s="10">
        <f>SUM('а1 а2 а3'!O29)</f>
        <v>0.34945474716236724</v>
      </c>
      <c r="N15" s="36">
        <f>SUM(K$15*J15+L$15*G15+M$15*E15)</f>
        <v>0.8492774914005348</v>
      </c>
      <c r="O15" s="10">
        <f>SUM(O3:O14)/12</f>
        <v>106.42166666666668</v>
      </c>
      <c r="P15" s="10">
        <f>SUM(P3:P14)/12</f>
        <v>3456.191666666666</v>
      </c>
      <c r="Q15" s="10">
        <f>SUM(Q3:Q14)/12</f>
        <v>4.4399999999999995</v>
      </c>
      <c r="R15" s="48">
        <f t="shared" si="5"/>
        <v>1</v>
      </c>
      <c r="S15" s="9">
        <f t="shared" si="6"/>
        <v>1</v>
      </c>
      <c r="T15" s="48">
        <f t="shared" si="7"/>
        <v>1</v>
      </c>
      <c r="U15" s="10">
        <f>SUM('q1q2'!O26)</f>
        <v>0.5492855522074679</v>
      </c>
      <c r="V15" s="10">
        <f>SUM('q1q2'!O27)</f>
        <v>0.06407570735349853</v>
      </c>
      <c r="W15" s="48">
        <f t="shared" si="8"/>
        <v>0.9999999999999998</v>
      </c>
      <c r="X15" s="14">
        <f>SUM(X3:X14)</f>
        <v>18148.30641557142</v>
      </c>
      <c r="Y15" s="48">
        <f t="shared" si="10"/>
        <v>0.8531472629555357</v>
      </c>
      <c r="Z15" s="66">
        <f>SUM(Z3:Z14)</f>
        <v>23508.4</v>
      </c>
      <c r="AA15" s="48"/>
      <c r="AB15" s="48"/>
      <c r="AC15" s="14">
        <f>SUM(AC3:AC14)</f>
        <v>25208</v>
      </c>
      <c r="AD15" s="75">
        <v>303710</v>
      </c>
      <c r="AE15" s="66">
        <f t="shared" si="1"/>
        <v>13.048159314503332</v>
      </c>
      <c r="AF15" s="14">
        <f>SUM(AF3:AF14)</f>
        <v>303709.99999999994</v>
      </c>
      <c r="AG15" s="68">
        <f>SUM(AG3:AG14)</f>
        <v>303709.99999999994</v>
      </c>
      <c r="AH15" s="75">
        <v>30464.7</v>
      </c>
      <c r="AI15" s="68">
        <f>SUM(AI3:AI14)</f>
        <v>30464.7</v>
      </c>
      <c r="AJ15" s="153">
        <f>SUM(AJ3:AJ14)</f>
        <v>334174.69999999995</v>
      </c>
    </row>
    <row r="16" ht="23.25" customHeight="1"/>
    <row r="17" ht="12.75">
      <c r="AD17" s="154"/>
    </row>
    <row r="18" ht="12.75">
      <c r="AD18" s="154"/>
    </row>
    <row r="19" spans="17:27" ht="12.75">
      <c r="Q19" s="164" t="s">
        <v>180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</row>
    <row r="20" spans="17:27" ht="12.75"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  <row r="21" spans="17:27" ht="12.75"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</row>
  </sheetData>
  <sheetProtection/>
  <mergeCells count="2">
    <mergeCell ref="A1:AJ1"/>
    <mergeCell ref="Q19:AA21"/>
  </mergeCells>
  <printOptions/>
  <pageMargins left="0.35" right="0.27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1"/>
  <sheetViews>
    <sheetView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Q27" sqref="Q27"/>
    </sheetView>
  </sheetViews>
  <sheetFormatPr defaultColWidth="9.140625" defaultRowHeight="15"/>
  <cols>
    <col min="1" max="1" width="26.28125" style="23" customWidth="1"/>
    <col min="2" max="3" width="11.7109375" style="23" customWidth="1"/>
    <col min="4" max="4" width="11.421875" style="23" customWidth="1"/>
    <col min="5" max="6" width="13.421875" style="23" customWidth="1"/>
    <col min="7" max="7" width="12.8515625" style="22" customWidth="1"/>
    <col min="8" max="8" width="11.7109375" style="22" customWidth="1"/>
    <col min="9" max="9" width="15.28125" style="22" customWidth="1"/>
    <col min="10" max="11" width="13.57421875" style="22" customWidth="1"/>
    <col min="12" max="12" width="14.8515625" style="22" customWidth="1"/>
    <col min="13" max="14" width="13.57421875" style="22" customWidth="1"/>
    <col min="15" max="15" width="15.28125" style="6" customWidth="1"/>
    <col min="16" max="16" width="14.140625" style="6" customWidth="1"/>
    <col min="17" max="17" width="15.28125" style="6" customWidth="1"/>
    <col min="18" max="26" width="11.7109375" style="22" customWidth="1"/>
    <col min="27" max="27" width="11.7109375" style="43" customWidth="1"/>
    <col min="28" max="28" width="11.7109375" style="41" customWidth="1"/>
    <col min="29" max="29" width="11.7109375" style="43" customWidth="1"/>
    <col min="30" max="31" width="16.28125" style="43" customWidth="1"/>
    <col min="32" max="32" width="18.421875" style="43" customWidth="1"/>
    <col min="33" max="33" width="13.7109375" style="41" customWidth="1"/>
    <col min="34" max="34" width="17.7109375" style="41" customWidth="1"/>
    <col min="35" max="35" width="14.7109375" style="42" customWidth="1"/>
    <col min="36" max="36" width="14.57421875" style="42" customWidth="1"/>
    <col min="37" max="16384" width="9.140625" style="23" customWidth="1"/>
  </cols>
  <sheetData>
    <row r="1" spans="1:36" ht="24.75" customHeight="1">
      <c r="A1" s="163" t="s">
        <v>170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s="27" customFormat="1" ht="233.25" customHeight="1">
      <c r="A2" s="24" t="s">
        <v>0</v>
      </c>
      <c r="B2" s="25" t="s">
        <v>168</v>
      </c>
      <c r="C2" s="25" t="s">
        <v>169</v>
      </c>
      <c r="D2" s="25" t="s">
        <v>16</v>
      </c>
      <c r="E2" s="35" t="s">
        <v>17</v>
      </c>
      <c r="F2" s="15" t="s">
        <v>60</v>
      </c>
      <c r="G2" s="35" t="s">
        <v>18</v>
      </c>
      <c r="H2" s="15" t="s">
        <v>19</v>
      </c>
      <c r="I2" s="15" t="s">
        <v>20</v>
      </c>
      <c r="J2" s="35" t="s">
        <v>21</v>
      </c>
      <c r="K2" s="26" t="s">
        <v>22</v>
      </c>
      <c r="L2" s="26" t="s">
        <v>23</v>
      </c>
      <c r="M2" s="26" t="s">
        <v>24</v>
      </c>
      <c r="N2" s="35" t="s">
        <v>34</v>
      </c>
      <c r="O2" s="16" t="s">
        <v>25</v>
      </c>
      <c r="P2" s="16" t="s">
        <v>27</v>
      </c>
      <c r="Q2" s="16" t="s">
        <v>26</v>
      </c>
      <c r="R2" s="35" t="s">
        <v>28</v>
      </c>
      <c r="S2" s="15" t="s">
        <v>29</v>
      </c>
      <c r="T2" s="35" t="s">
        <v>30</v>
      </c>
      <c r="U2" s="15" t="s">
        <v>31</v>
      </c>
      <c r="V2" s="15" t="s">
        <v>32</v>
      </c>
      <c r="W2" s="35" t="s">
        <v>33</v>
      </c>
      <c r="X2" s="21" t="s">
        <v>35</v>
      </c>
      <c r="Y2" s="33" t="s">
        <v>51</v>
      </c>
      <c r="Z2" s="35" t="s">
        <v>48</v>
      </c>
      <c r="AA2" s="33" t="s">
        <v>49</v>
      </c>
      <c r="AB2" s="35" t="s">
        <v>52</v>
      </c>
      <c r="AC2" s="21" t="s">
        <v>53</v>
      </c>
      <c r="AD2" s="40" t="s">
        <v>50</v>
      </c>
      <c r="AE2" s="35" t="s">
        <v>54</v>
      </c>
      <c r="AF2" s="15" t="s">
        <v>55</v>
      </c>
      <c r="AG2" s="51" t="s">
        <v>56</v>
      </c>
      <c r="AH2" s="40" t="s">
        <v>57</v>
      </c>
      <c r="AI2" s="54" t="s">
        <v>58</v>
      </c>
      <c r="AJ2" s="55" t="s">
        <v>59</v>
      </c>
    </row>
    <row r="3" spans="1:36" s="30" customFormat="1" ht="18.75">
      <c r="A3" s="28" t="s">
        <v>1</v>
      </c>
      <c r="B3" s="133">
        <v>5187</v>
      </c>
      <c r="C3" s="133">
        <v>5187</v>
      </c>
      <c r="D3" s="133">
        <v>513</v>
      </c>
      <c r="E3" s="34">
        <f>(1+D3/B3)/(1+D$15/B$15)</f>
        <v>0.8971816360978924</v>
      </c>
      <c r="F3" s="134">
        <v>124.8</v>
      </c>
      <c r="G3" s="34">
        <f>(F3/B3)/(F$15/B$15)</f>
        <v>1.1500802346716292</v>
      </c>
      <c r="H3" s="29"/>
      <c r="I3" s="13"/>
      <c r="J3" s="34">
        <f aca="true" t="shared" si="0" ref="J3:J15">SUM(I$15+(1-I$15)*H$15/B3)</f>
        <v>0.812617360709466</v>
      </c>
      <c r="K3" s="8"/>
      <c r="L3" s="8"/>
      <c r="M3" s="8"/>
      <c r="N3" s="36">
        <f>SUM(K$15*J3+L$15*G3+M$15*E3)</f>
        <v>0.8523180232839243</v>
      </c>
      <c r="O3" s="134">
        <v>78.6</v>
      </c>
      <c r="P3" s="134">
        <v>1741.06</v>
      </c>
      <c r="Q3" s="134">
        <v>4.44</v>
      </c>
      <c r="R3" s="34">
        <f>SUM(0.2*O3/O$15+0.65*P3/P$15+0.15*Q3/Q$15)</f>
        <v>0.6251524296834576</v>
      </c>
      <c r="S3" s="11">
        <f>SUM(C3/B3)</f>
        <v>1</v>
      </c>
      <c r="T3" s="34">
        <f>SUM((1+0.25*S3)/(1+0.25*S$15))</f>
        <v>1</v>
      </c>
      <c r="U3" s="13"/>
      <c r="V3" s="13"/>
      <c r="W3" s="34">
        <f>SUM(U$15*T3+V$15*R3+1-U$15-V$15)</f>
        <v>0.9759813767822274</v>
      </c>
      <c r="X3" s="13">
        <f>SUM(W3*N3*B3)</f>
        <v>4314.787887937273</v>
      </c>
      <c r="Y3" s="34">
        <f>SUM(W3*N3*B$15/X$15)</f>
        <v>0.8356368643512491</v>
      </c>
      <c r="Z3" s="38">
        <f>SUM(НПn2016!N3)</f>
        <v>11429.80564830551</v>
      </c>
      <c r="AA3" s="34">
        <f>(Z3/B3)/(Z$15/B$15)</f>
        <v>1.5179744877387065</v>
      </c>
      <c r="AB3" s="34">
        <f>SUM(AA3/Y3)</f>
        <v>1.8165480156469564</v>
      </c>
      <c r="AC3" s="13">
        <f>SUM(ПНД!M5)</f>
        <v>8918</v>
      </c>
      <c r="AD3" s="39"/>
      <c r="AE3" s="38">
        <f aca="true" t="shared" si="1" ref="AE3:AE15">SUM(AC$15+AD$15)/AC$15</f>
        <v>13.181908096982008</v>
      </c>
      <c r="AF3" s="13">
        <f>SUM(AC$15/B$15)*(AE$15-AB3)*Y3*B3</f>
        <v>70758.8370411931</v>
      </c>
      <c r="AG3" s="67">
        <f>SUM(AD$15*AF3/AF$15)</f>
        <v>70758.83704119312</v>
      </c>
      <c r="AH3" s="37"/>
      <c r="AI3" s="67">
        <f>SUM(AH$15*B3/B$15)</f>
        <v>9101.07816356755</v>
      </c>
      <c r="AJ3" s="98">
        <f>SUM(AI3+AG3)</f>
        <v>79859.91520476068</v>
      </c>
    </row>
    <row r="4" spans="1:36" s="30" customFormat="1" ht="18.75">
      <c r="A4" s="28" t="s">
        <v>2</v>
      </c>
      <c r="B4" s="133">
        <v>1050</v>
      </c>
      <c r="C4" s="133">
        <v>1050</v>
      </c>
      <c r="D4" s="133">
        <v>0</v>
      </c>
      <c r="E4" s="34">
        <f aca="true" t="shared" si="2" ref="E4:E15">(1+D4/B4)/(1+D$15/B$15)</f>
        <v>0.816435288849082</v>
      </c>
      <c r="F4" s="134">
        <v>13.3</v>
      </c>
      <c r="G4" s="34">
        <f aca="true" t="shared" si="3" ref="G4:G15">(F4/B4)/(F$15/B$15)</f>
        <v>0.605469323544835</v>
      </c>
      <c r="H4" s="29"/>
      <c r="I4" s="13"/>
      <c r="J4" s="34">
        <f t="shared" si="0"/>
        <v>1.1184297619047618</v>
      </c>
      <c r="K4" s="8"/>
      <c r="L4" s="8"/>
      <c r="M4" s="8"/>
      <c r="N4" s="36">
        <f aca="true" t="shared" si="4" ref="N4:N14">SUM(K$15*J4+L$15*G4+M$15*E4)</f>
        <v>0.997468954159898</v>
      </c>
      <c r="O4" s="134">
        <v>102.73</v>
      </c>
      <c r="P4" s="134">
        <v>4313.79</v>
      </c>
      <c r="Q4" s="134">
        <v>4.44</v>
      </c>
      <c r="R4" s="34">
        <f aca="true" t="shared" si="5" ref="R4:R15">SUM(0.2*O4/O$15+0.65*P4/P$15+0.15*Q4/Q$15)</f>
        <v>1.154349227714031</v>
      </c>
      <c r="S4" s="11">
        <f aca="true" t="shared" si="6" ref="S4:S15">SUM(C4/B4)</f>
        <v>1</v>
      </c>
      <c r="T4" s="34">
        <f aca="true" t="shared" si="7" ref="T4:T15">SUM((1+0.25*S4)/(1+0.25*S$15))</f>
        <v>1</v>
      </c>
      <c r="U4" s="13"/>
      <c r="V4" s="13"/>
      <c r="W4" s="34">
        <f aca="true" t="shared" si="8" ref="W4:W15">SUM(U$15*T4+V$15*R4+1-U$15-V$15)</f>
        <v>1.0098900359452425</v>
      </c>
      <c r="X4" s="13">
        <f aca="true" t="shared" si="9" ref="X4:X14">SUM(W4*N4*B4)</f>
        <v>1057.700655869343</v>
      </c>
      <c r="Y4" s="34">
        <f aca="true" t="shared" si="10" ref="Y4:Y15">SUM(W4*N4*B$15/X$15)</f>
        <v>1.0119239210116386</v>
      </c>
      <c r="Z4" s="38">
        <f>SUM(НПn2016!N4)</f>
        <v>2563.4384080335403</v>
      </c>
      <c r="AA4" s="34">
        <f aca="true" t="shared" si="11" ref="AA4:AA14">(Z4/B4)/(Z$15/B$15)</f>
        <v>1.6818043164202823</v>
      </c>
      <c r="AB4" s="34">
        <f aca="true" t="shared" si="12" ref="AB4:AB14">SUM(AA4/Y4)</f>
        <v>1.6619869157149207</v>
      </c>
      <c r="AC4" s="13">
        <f>SUM(ПНД!M6)</f>
        <v>3400</v>
      </c>
      <c r="AD4" s="39"/>
      <c r="AE4" s="38">
        <f t="shared" si="1"/>
        <v>13.181908096982008</v>
      </c>
      <c r="AF4" s="13">
        <f aca="true" t="shared" si="13" ref="AF4:AF14">SUM(AC$15/B$15)*(AE$15-AB4)*Y4*B4</f>
        <v>17581.272976059405</v>
      </c>
      <c r="AG4" s="67">
        <f aca="true" t="shared" si="14" ref="AG4:AG14">SUM(AD$15*AF4/AF$15)</f>
        <v>17581.27297605941</v>
      </c>
      <c r="AH4" s="37"/>
      <c r="AI4" s="67">
        <f aca="true" t="shared" si="15" ref="AI4:AI14">SUM(AH$15*B4/B$15)</f>
        <v>1842.3235148922165</v>
      </c>
      <c r="AJ4" s="98">
        <f aca="true" t="shared" si="16" ref="AJ4:AJ14">SUM(AI4+AG4)</f>
        <v>19423.596490951626</v>
      </c>
    </row>
    <row r="5" spans="1:36" s="30" customFormat="1" ht="18.75">
      <c r="A5" s="28" t="s">
        <v>3</v>
      </c>
      <c r="B5" s="133">
        <v>1273</v>
      </c>
      <c r="C5" s="133">
        <v>1273</v>
      </c>
      <c r="D5" s="133">
        <v>592</v>
      </c>
      <c r="E5" s="34">
        <f t="shared" si="2"/>
        <v>1.196112972273007</v>
      </c>
      <c r="F5" s="134">
        <v>26.7</v>
      </c>
      <c r="G5" s="34">
        <f t="shared" si="3"/>
        <v>1.002565279198356</v>
      </c>
      <c r="H5" s="29"/>
      <c r="I5" s="13"/>
      <c r="J5" s="34">
        <f t="shared" si="0"/>
        <v>1.0512617831893165</v>
      </c>
      <c r="K5" s="8"/>
      <c r="L5" s="8"/>
      <c r="M5" s="8"/>
      <c r="N5" s="36">
        <f t="shared" si="4"/>
        <v>1.1004161600655138</v>
      </c>
      <c r="O5" s="134">
        <v>102.73</v>
      </c>
      <c r="P5" s="134">
        <v>2622.22</v>
      </c>
      <c r="Q5" s="134">
        <v>4.44</v>
      </c>
      <c r="R5" s="34">
        <f t="shared" si="5"/>
        <v>0.8362185781310363</v>
      </c>
      <c r="S5" s="11">
        <f t="shared" si="6"/>
        <v>1</v>
      </c>
      <c r="T5" s="34">
        <f t="shared" si="7"/>
        <v>1</v>
      </c>
      <c r="U5" s="13"/>
      <c r="V5" s="13"/>
      <c r="W5" s="34">
        <f t="shared" si="8"/>
        <v>0.9895055895423843</v>
      </c>
      <c r="X5" s="13">
        <f t="shared" si="9"/>
        <v>1386.1288891572658</v>
      </c>
      <c r="Y5" s="34">
        <f t="shared" si="10"/>
        <v>1.0938294175550811</v>
      </c>
      <c r="Z5" s="38">
        <f>SUM(НПn2016!N5)</f>
        <v>2616.4954847026634</v>
      </c>
      <c r="AA5" s="34">
        <f t="shared" si="11"/>
        <v>1.4159028656913464</v>
      </c>
      <c r="AB5" s="34">
        <f t="shared" si="12"/>
        <v>1.2944457727752114</v>
      </c>
      <c r="AC5" s="13">
        <f>SUM(ПНД!M7)</f>
        <v>2731.3</v>
      </c>
      <c r="AD5" s="39"/>
      <c r="AE5" s="38">
        <f t="shared" si="1"/>
        <v>13.181908096982008</v>
      </c>
      <c r="AF5" s="13">
        <f t="shared" si="13"/>
        <v>23775.562700518884</v>
      </c>
      <c r="AG5" s="67">
        <f t="shared" si="14"/>
        <v>23775.562700518894</v>
      </c>
      <c r="AH5" s="37"/>
      <c r="AI5" s="67">
        <f t="shared" si="15"/>
        <v>2233.5979375788493</v>
      </c>
      <c r="AJ5" s="98">
        <f t="shared" si="16"/>
        <v>26009.160638097743</v>
      </c>
    </row>
    <row r="6" spans="1:36" s="30" customFormat="1" ht="18.75">
      <c r="A6" s="28" t="s">
        <v>4</v>
      </c>
      <c r="B6" s="133">
        <v>805</v>
      </c>
      <c r="C6" s="133">
        <v>805</v>
      </c>
      <c r="D6" s="133">
        <v>52</v>
      </c>
      <c r="E6" s="34">
        <f t="shared" si="2"/>
        <v>0.8691739658927493</v>
      </c>
      <c r="F6" s="134">
        <v>17.4</v>
      </c>
      <c r="G6" s="34">
        <f t="shared" si="3"/>
        <v>1.0331970803870671</v>
      </c>
      <c r="H6" s="29"/>
      <c r="I6" s="13"/>
      <c r="J6" s="34">
        <f t="shared" si="0"/>
        <v>1.2351257763975156</v>
      </c>
      <c r="K6" s="8"/>
      <c r="L6" s="8"/>
      <c r="M6" s="8"/>
      <c r="N6" s="36">
        <f t="shared" si="4"/>
        <v>1.101169126081115</v>
      </c>
      <c r="O6" s="134">
        <v>188.31</v>
      </c>
      <c r="P6" s="134">
        <v>3423.89</v>
      </c>
      <c r="Q6" s="134">
        <v>4.44</v>
      </c>
      <c r="R6" s="34">
        <f t="shared" si="5"/>
        <v>1.147819181827531</v>
      </c>
      <c r="S6" s="11">
        <f t="shared" si="6"/>
        <v>1</v>
      </c>
      <c r="T6" s="34">
        <f t="shared" si="7"/>
        <v>1</v>
      </c>
      <c r="U6" s="13"/>
      <c r="V6" s="13"/>
      <c r="W6" s="34">
        <f t="shared" si="8"/>
        <v>1.0094716186360142</v>
      </c>
      <c r="X6" s="13">
        <f t="shared" si="9"/>
        <v>894.8371789781721</v>
      </c>
      <c r="Y6" s="34">
        <f t="shared" si="10"/>
        <v>1.1166640314581826</v>
      </c>
      <c r="Z6" s="38">
        <f>SUM(НПn2016!N6)</f>
        <v>587.9443188546923</v>
      </c>
      <c r="AA6" s="34">
        <f t="shared" si="11"/>
        <v>0.5031322926841857</v>
      </c>
      <c r="AB6" s="34">
        <f t="shared" si="12"/>
        <v>0.4505672955429363</v>
      </c>
      <c r="AC6" s="13">
        <f>SUM(ПНД!M13)</f>
        <v>582</v>
      </c>
      <c r="AD6" s="39"/>
      <c r="AE6" s="38">
        <f t="shared" si="1"/>
        <v>13.181908096982008</v>
      </c>
      <c r="AF6" s="13">
        <f t="shared" si="13"/>
        <v>16438.273408091405</v>
      </c>
      <c r="AG6" s="67">
        <f t="shared" si="14"/>
        <v>16438.27340809141</v>
      </c>
      <c r="AH6" s="37"/>
      <c r="AI6" s="67">
        <f t="shared" si="15"/>
        <v>1412.4480280840328</v>
      </c>
      <c r="AJ6" s="98">
        <f t="shared" si="16"/>
        <v>17850.72143617544</v>
      </c>
    </row>
    <row r="7" spans="1:36" s="30" customFormat="1" ht="18.75">
      <c r="A7" s="28" t="s">
        <v>5</v>
      </c>
      <c r="B7" s="133">
        <v>1068</v>
      </c>
      <c r="C7" s="133">
        <v>1068</v>
      </c>
      <c r="D7" s="133">
        <v>295</v>
      </c>
      <c r="E7" s="34">
        <f t="shared" si="2"/>
        <v>1.0419487815555233</v>
      </c>
      <c r="F7" s="134">
        <v>22.5</v>
      </c>
      <c r="G7" s="34">
        <f t="shared" si="3"/>
        <v>1.0070268908751319</v>
      </c>
      <c r="H7" s="29"/>
      <c r="I7" s="13"/>
      <c r="J7" s="34">
        <f t="shared" si="0"/>
        <v>1.1119674625468163</v>
      </c>
      <c r="K7" s="8"/>
      <c r="L7" s="8"/>
      <c r="M7" s="8"/>
      <c r="N7" s="36">
        <f t="shared" si="4"/>
        <v>1.0843429897733894</v>
      </c>
      <c r="O7" s="134">
        <v>188.31</v>
      </c>
      <c r="P7" s="134">
        <v>4297.45</v>
      </c>
      <c r="Q7" s="134">
        <v>4.44</v>
      </c>
      <c r="R7" s="34">
        <f t="shared" si="5"/>
        <v>1.3121081029184234</v>
      </c>
      <c r="S7" s="11">
        <f t="shared" si="6"/>
        <v>1</v>
      </c>
      <c r="T7" s="34">
        <f t="shared" si="7"/>
        <v>1</v>
      </c>
      <c r="U7" s="13"/>
      <c r="V7" s="13"/>
      <c r="W7" s="34">
        <f t="shared" si="8"/>
        <v>1.0199985474652566</v>
      </c>
      <c r="X7" s="13">
        <f t="shared" si="9"/>
        <v>1181.2381971905543</v>
      </c>
      <c r="Y7" s="34">
        <f t="shared" si="10"/>
        <v>1.1110679427104966</v>
      </c>
      <c r="Z7" s="38">
        <f>SUM(НПn2016!N7)</f>
        <v>1003.6589854915942</v>
      </c>
      <c r="AA7" s="34">
        <f t="shared" si="11"/>
        <v>0.6473763045134127</v>
      </c>
      <c r="AB7" s="34">
        <f t="shared" si="12"/>
        <v>0.5826613113632918</v>
      </c>
      <c r="AC7" s="13">
        <f>SUM(ПНД!M9)</f>
        <v>1270</v>
      </c>
      <c r="AD7" s="39"/>
      <c r="AE7" s="38">
        <f t="shared" si="1"/>
        <v>13.181908096982008</v>
      </c>
      <c r="AF7" s="13">
        <f t="shared" si="13"/>
        <v>21474.353626911303</v>
      </c>
      <c r="AG7" s="67">
        <f t="shared" si="14"/>
        <v>21474.35362691131</v>
      </c>
      <c r="AH7" s="37"/>
      <c r="AI7" s="67">
        <f t="shared" si="15"/>
        <v>1873.9062037189403</v>
      </c>
      <c r="AJ7" s="98">
        <f t="shared" si="16"/>
        <v>23348.25983063025</v>
      </c>
    </row>
    <row r="8" spans="1:36" s="30" customFormat="1" ht="18.75">
      <c r="A8" s="28" t="s">
        <v>6</v>
      </c>
      <c r="B8" s="133">
        <v>1320</v>
      </c>
      <c r="C8" s="133">
        <v>1320</v>
      </c>
      <c r="D8" s="133">
        <v>470</v>
      </c>
      <c r="E8" s="34">
        <f t="shared" si="2"/>
        <v>1.1071357326059519</v>
      </c>
      <c r="F8" s="134">
        <v>25.7</v>
      </c>
      <c r="G8" s="34">
        <f t="shared" si="3"/>
        <v>0.9306555989893694</v>
      </c>
      <c r="H8" s="29"/>
      <c r="I8" s="13"/>
      <c r="J8" s="34">
        <f t="shared" si="0"/>
        <v>1.040000946969697</v>
      </c>
      <c r="K8" s="8"/>
      <c r="L8" s="8"/>
      <c r="M8" s="8"/>
      <c r="N8" s="36">
        <f t="shared" si="4"/>
        <v>1.0601729295182456</v>
      </c>
      <c r="O8" s="134">
        <v>102.73</v>
      </c>
      <c r="P8" s="134">
        <v>4053.83</v>
      </c>
      <c r="Q8" s="134">
        <v>4.44</v>
      </c>
      <c r="R8" s="34">
        <f t="shared" si="5"/>
        <v>1.105458999307524</v>
      </c>
      <c r="S8" s="11">
        <f t="shared" si="6"/>
        <v>1</v>
      </c>
      <c r="T8" s="34">
        <f t="shared" si="7"/>
        <v>1</v>
      </c>
      <c r="U8" s="13"/>
      <c r="V8" s="13"/>
      <c r="W8" s="34">
        <f t="shared" si="8"/>
        <v>1.0067573599774218</v>
      </c>
      <c r="X8" s="13">
        <f t="shared" si="9"/>
        <v>1408.88470752654</v>
      </c>
      <c r="Y8" s="34">
        <f t="shared" si="10"/>
        <v>1.0722002688176562</v>
      </c>
      <c r="Z8" s="38">
        <f>SUM(НПn2016!N8)</f>
        <v>2073.2052934625976</v>
      </c>
      <c r="AA8" s="34">
        <f t="shared" si="11"/>
        <v>1.0819576267663429</v>
      </c>
      <c r="AB8" s="34">
        <f t="shared" si="12"/>
        <v>1.0091003129102425</v>
      </c>
      <c r="AC8" s="13">
        <f>SUM(ПНД!M14)</f>
        <v>1690</v>
      </c>
      <c r="AD8" s="39"/>
      <c r="AE8" s="38">
        <f t="shared" si="1"/>
        <v>13.181908096982008</v>
      </c>
      <c r="AF8" s="13">
        <f t="shared" si="13"/>
        <v>24745.957073368605</v>
      </c>
      <c r="AG8" s="67">
        <f t="shared" si="14"/>
        <v>24745.957073368616</v>
      </c>
      <c r="AH8" s="37"/>
      <c r="AI8" s="67">
        <f t="shared" si="15"/>
        <v>2316.0638472930723</v>
      </c>
      <c r="AJ8" s="98">
        <f t="shared" si="16"/>
        <v>27062.02092066169</v>
      </c>
    </row>
    <row r="9" spans="1:36" s="30" customFormat="1" ht="18.75">
      <c r="A9" s="28" t="s">
        <v>7</v>
      </c>
      <c r="B9" s="133">
        <v>3056</v>
      </c>
      <c r="C9" s="133">
        <v>3056</v>
      </c>
      <c r="D9" s="133">
        <v>949</v>
      </c>
      <c r="E9" s="34">
        <f t="shared" si="2"/>
        <v>1.0699683677488787</v>
      </c>
      <c r="F9" s="134">
        <v>65.7</v>
      </c>
      <c r="G9" s="34">
        <f t="shared" si="3"/>
        <v>1.0276419439815287</v>
      </c>
      <c r="H9" s="29"/>
      <c r="I9" s="13"/>
      <c r="J9" s="34">
        <f t="shared" si="0"/>
        <v>0.8667412467277487</v>
      </c>
      <c r="K9" s="8"/>
      <c r="L9" s="8"/>
      <c r="M9" s="8"/>
      <c r="N9" s="36">
        <f t="shared" si="4"/>
        <v>0.94259905513623</v>
      </c>
      <c r="O9" s="134">
        <v>102.73</v>
      </c>
      <c r="P9" s="134">
        <v>3075.41</v>
      </c>
      <c r="Q9" s="134">
        <v>4.44</v>
      </c>
      <c r="R9" s="34">
        <f t="shared" si="5"/>
        <v>0.9214492390463501</v>
      </c>
      <c r="S9" s="11">
        <f t="shared" si="6"/>
        <v>1</v>
      </c>
      <c r="T9" s="34">
        <f t="shared" si="7"/>
        <v>1</v>
      </c>
      <c r="U9" s="13"/>
      <c r="V9" s="13"/>
      <c r="W9" s="34">
        <f t="shared" si="8"/>
        <v>0.9949668044287392</v>
      </c>
      <c r="X9" s="13">
        <f t="shared" si="9"/>
        <v>2866.0841763451317</v>
      </c>
      <c r="Y9" s="34">
        <f t="shared" si="10"/>
        <v>0.9421281477029252</v>
      </c>
      <c r="Z9" s="38">
        <f>SUM(НПn2016!N9)</f>
        <v>2662.3202787565533</v>
      </c>
      <c r="AA9" s="34">
        <f t="shared" si="11"/>
        <v>0.6001348195286624</v>
      </c>
      <c r="AB9" s="34">
        <f t="shared" si="12"/>
        <v>0.6369991396519646</v>
      </c>
      <c r="AC9" s="13">
        <f>SUM(ПНД!M12)</f>
        <v>3159.5000000000005</v>
      </c>
      <c r="AD9" s="39"/>
      <c r="AE9" s="38">
        <f t="shared" si="1"/>
        <v>13.181908096982008</v>
      </c>
      <c r="AF9" s="13">
        <f t="shared" si="13"/>
        <v>51879.34579866885</v>
      </c>
      <c r="AG9" s="67">
        <f t="shared" si="14"/>
        <v>51879.345798668866</v>
      </c>
      <c r="AH9" s="37"/>
      <c r="AI9" s="67">
        <f t="shared" si="15"/>
        <v>5362.038725248203</v>
      </c>
      <c r="AJ9" s="98">
        <f t="shared" si="16"/>
        <v>57241.38452391707</v>
      </c>
    </row>
    <row r="10" spans="1:36" s="30" customFormat="1" ht="18.75">
      <c r="A10" s="28" t="s">
        <v>8</v>
      </c>
      <c r="B10" s="133">
        <v>917</v>
      </c>
      <c r="C10" s="133">
        <v>917</v>
      </c>
      <c r="D10" s="133">
        <v>257</v>
      </c>
      <c r="E10" s="34">
        <f t="shared" si="2"/>
        <v>1.0452508496279413</v>
      </c>
      <c r="F10" s="134">
        <v>19.3</v>
      </c>
      <c r="G10" s="34">
        <f t="shared" si="3"/>
        <v>1.0060458541366568</v>
      </c>
      <c r="H10" s="29"/>
      <c r="I10" s="13"/>
      <c r="J10" s="34">
        <f t="shared" si="0"/>
        <v>1.174041712104689</v>
      </c>
      <c r="K10" s="8"/>
      <c r="L10" s="8"/>
      <c r="M10" s="8"/>
      <c r="N10" s="36">
        <f t="shared" si="4"/>
        <v>1.123982618982617</v>
      </c>
      <c r="O10" s="134">
        <v>102.73</v>
      </c>
      <c r="P10" s="134">
        <v>3582.3</v>
      </c>
      <c r="Q10" s="134">
        <v>4.44</v>
      </c>
      <c r="R10" s="34">
        <f t="shared" si="5"/>
        <v>1.0167791662542838</v>
      </c>
      <c r="S10" s="11">
        <f t="shared" si="6"/>
        <v>1</v>
      </c>
      <c r="T10" s="34">
        <f t="shared" si="7"/>
        <v>1</v>
      </c>
      <c r="U10" s="13"/>
      <c r="V10" s="13"/>
      <c r="W10" s="34">
        <f t="shared" si="8"/>
        <v>1.0010751369465452</v>
      </c>
      <c r="X10" s="13">
        <f t="shared" si="9"/>
        <v>1031.8001967230043</v>
      </c>
      <c r="Y10" s="34">
        <f t="shared" si="10"/>
        <v>1.1303180384892035</v>
      </c>
      <c r="Z10" s="38">
        <f>SUM(НПn2016!N10)</f>
        <v>556.2387990980338</v>
      </c>
      <c r="AA10" s="34">
        <f t="shared" si="11"/>
        <v>0.4178629037389477</v>
      </c>
      <c r="AB10" s="34">
        <f t="shared" si="12"/>
        <v>0.36968613214159457</v>
      </c>
      <c r="AC10" s="13">
        <f>SUM(ПНД!M10)</f>
        <v>612</v>
      </c>
      <c r="AD10" s="39"/>
      <c r="AE10" s="38">
        <f t="shared" si="1"/>
        <v>13.181908096982008</v>
      </c>
      <c r="AF10" s="13">
        <f t="shared" si="13"/>
        <v>19074.716681110007</v>
      </c>
      <c r="AG10" s="67">
        <f t="shared" si="14"/>
        <v>19074.716681110014</v>
      </c>
      <c r="AH10" s="37"/>
      <c r="AI10" s="67">
        <f t="shared" si="15"/>
        <v>1608.9625363392024</v>
      </c>
      <c r="AJ10" s="98">
        <f t="shared" si="16"/>
        <v>20683.679217449215</v>
      </c>
    </row>
    <row r="11" spans="1:36" s="30" customFormat="1" ht="18.75">
      <c r="A11" s="28" t="s">
        <v>9</v>
      </c>
      <c r="B11" s="133">
        <v>1092</v>
      </c>
      <c r="C11" s="133">
        <v>1092</v>
      </c>
      <c r="D11" s="133">
        <v>262</v>
      </c>
      <c r="E11" s="34">
        <f t="shared" si="2"/>
        <v>1.0123199460637884</v>
      </c>
      <c r="F11" s="134">
        <v>16.7</v>
      </c>
      <c r="G11" s="34">
        <f t="shared" si="3"/>
        <v>0.7310105337766587</v>
      </c>
      <c r="H11" s="29"/>
      <c r="I11" s="13"/>
      <c r="J11" s="34">
        <f t="shared" si="0"/>
        <v>1.1036824633699633</v>
      </c>
      <c r="K11" s="8"/>
      <c r="L11" s="8"/>
      <c r="M11" s="8"/>
      <c r="N11" s="36">
        <f t="shared" si="4"/>
        <v>1.0605472022772116</v>
      </c>
      <c r="O11" s="134">
        <v>102.73</v>
      </c>
      <c r="P11" s="134">
        <v>3556.63</v>
      </c>
      <c r="Q11" s="134">
        <v>4.44</v>
      </c>
      <c r="R11" s="34">
        <f t="shared" si="5"/>
        <v>1.0119514536708285</v>
      </c>
      <c r="S11" s="11">
        <f t="shared" si="6"/>
        <v>1</v>
      </c>
      <c r="T11" s="34">
        <f t="shared" si="7"/>
        <v>1</v>
      </c>
      <c r="U11" s="13"/>
      <c r="V11" s="13"/>
      <c r="W11" s="34">
        <f t="shared" si="8"/>
        <v>1.0007657978478608</v>
      </c>
      <c r="X11" s="13">
        <f t="shared" si="9"/>
        <v>1159.0044288101592</v>
      </c>
      <c r="Y11" s="34">
        <f t="shared" si="10"/>
        <v>1.0661954993191791</v>
      </c>
      <c r="Z11" s="38">
        <f>SUM(НПn2016!N11)</f>
        <v>620.30145319188</v>
      </c>
      <c r="AA11" s="34">
        <f t="shared" si="11"/>
        <v>0.3913109807569247</v>
      </c>
      <c r="AB11" s="34">
        <f t="shared" si="12"/>
        <v>0.367016162614452</v>
      </c>
      <c r="AC11" s="13">
        <f>SUM(ПНД!M15)</f>
        <v>843</v>
      </c>
      <c r="AD11" s="39"/>
      <c r="AE11" s="38">
        <f t="shared" si="1"/>
        <v>13.181908096982008</v>
      </c>
      <c r="AF11" s="13">
        <f t="shared" si="13"/>
        <v>21430.78500506953</v>
      </c>
      <c r="AG11" s="67">
        <f t="shared" si="14"/>
        <v>21430.785005069538</v>
      </c>
      <c r="AH11" s="37"/>
      <c r="AI11" s="67">
        <f t="shared" si="15"/>
        <v>1916.0164554879052</v>
      </c>
      <c r="AJ11" s="98">
        <f t="shared" si="16"/>
        <v>23346.801460557443</v>
      </c>
    </row>
    <row r="12" spans="1:36" s="30" customFormat="1" ht="18.75">
      <c r="A12" s="28" t="s">
        <v>10</v>
      </c>
      <c r="B12" s="133">
        <v>1347</v>
      </c>
      <c r="C12" s="133">
        <v>1347</v>
      </c>
      <c r="D12" s="133">
        <v>416</v>
      </c>
      <c r="E12" s="34">
        <f t="shared" si="2"/>
        <v>1.068578629726007</v>
      </c>
      <c r="F12" s="134">
        <v>31.1</v>
      </c>
      <c r="G12" s="34">
        <f t="shared" si="3"/>
        <v>1.1036277084892958</v>
      </c>
      <c r="H12" s="29"/>
      <c r="I12" s="13"/>
      <c r="J12" s="34">
        <f t="shared" si="0"/>
        <v>1.0338873422420192</v>
      </c>
      <c r="K12" s="8"/>
      <c r="L12" s="8"/>
      <c r="M12" s="8"/>
      <c r="N12" s="36">
        <f t="shared" si="4"/>
        <v>1.048107835213711</v>
      </c>
      <c r="O12" s="134">
        <v>102.73</v>
      </c>
      <c r="P12" s="134">
        <v>3582.3</v>
      </c>
      <c r="Q12" s="134">
        <v>4.44</v>
      </c>
      <c r="R12" s="34">
        <f t="shared" si="5"/>
        <v>1.0167791662542838</v>
      </c>
      <c r="S12" s="11">
        <f t="shared" si="6"/>
        <v>1</v>
      </c>
      <c r="T12" s="34">
        <f t="shared" si="7"/>
        <v>1</v>
      </c>
      <c r="U12" s="13"/>
      <c r="V12" s="13"/>
      <c r="W12" s="34">
        <f t="shared" si="8"/>
        <v>1.0010751369465452</v>
      </c>
      <c r="X12" s="13">
        <f t="shared" si="9"/>
        <v>1413.3191337222581</v>
      </c>
      <c r="Y12" s="34">
        <f t="shared" si="10"/>
        <v>1.0540155803265576</v>
      </c>
      <c r="Z12" s="38">
        <f>SUM(НПn2016!N12)</f>
        <v>1475.2047480120452</v>
      </c>
      <c r="AA12" s="34">
        <f t="shared" si="11"/>
        <v>0.7544432557412729</v>
      </c>
      <c r="AB12" s="34">
        <f t="shared" si="12"/>
        <v>0.7157799844927619</v>
      </c>
      <c r="AC12" s="13">
        <f>SUM(ПНД!M11)</f>
        <v>1597</v>
      </c>
      <c r="AD12" s="39"/>
      <c r="AE12" s="38">
        <f t="shared" si="1"/>
        <v>13.181908096982008</v>
      </c>
      <c r="AF12" s="13">
        <f t="shared" si="13"/>
        <v>25422.00852571553</v>
      </c>
      <c r="AG12" s="67">
        <f t="shared" si="14"/>
        <v>25422.00852571554</v>
      </c>
      <c r="AH12" s="37"/>
      <c r="AI12" s="67">
        <f t="shared" si="15"/>
        <v>2363.437880533158</v>
      </c>
      <c r="AJ12" s="98">
        <f t="shared" si="16"/>
        <v>27785.4464062487</v>
      </c>
    </row>
    <row r="13" spans="1:36" s="30" customFormat="1" ht="18.75">
      <c r="A13" s="28" t="s">
        <v>11</v>
      </c>
      <c r="B13" s="133">
        <v>823</v>
      </c>
      <c r="C13" s="133">
        <v>823</v>
      </c>
      <c r="D13" s="133">
        <v>0</v>
      </c>
      <c r="E13" s="34">
        <f t="shared" si="2"/>
        <v>0.816435288849082</v>
      </c>
      <c r="F13" s="134">
        <v>12.9</v>
      </c>
      <c r="G13" s="34">
        <f t="shared" si="3"/>
        <v>0.7492377956508636</v>
      </c>
      <c r="H13" s="29"/>
      <c r="I13" s="13"/>
      <c r="J13" s="34">
        <f t="shared" si="0"/>
        <v>1.2241874240583233</v>
      </c>
      <c r="K13" s="8"/>
      <c r="L13" s="8"/>
      <c r="M13" s="8"/>
      <c r="N13" s="36">
        <f t="shared" si="4"/>
        <v>1.0674122832513573</v>
      </c>
      <c r="O13" s="134">
        <v>102.73</v>
      </c>
      <c r="P13" s="134">
        <v>4297.45</v>
      </c>
      <c r="Q13" s="134">
        <v>4.44</v>
      </c>
      <c r="R13" s="34">
        <f t="shared" si="5"/>
        <v>1.1512761921233157</v>
      </c>
      <c r="S13" s="11">
        <f t="shared" si="6"/>
        <v>1</v>
      </c>
      <c r="T13" s="34">
        <f t="shared" si="7"/>
        <v>1</v>
      </c>
      <c r="U13" s="13"/>
      <c r="V13" s="13"/>
      <c r="W13" s="34">
        <f t="shared" si="8"/>
        <v>1.0096931290160451</v>
      </c>
      <c r="X13" s="13">
        <f t="shared" si="9"/>
        <v>886.9955320901823</v>
      </c>
      <c r="Y13" s="34">
        <f t="shared" si="10"/>
        <v>1.082669705485774</v>
      </c>
      <c r="Z13" s="38">
        <f>SUM(НПn2016!N13)</f>
        <v>617.5750032909701</v>
      </c>
      <c r="AA13" s="34">
        <f t="shared" si="11"/>
        <v>0.5169300140182846</v>
      </c>
      <c r="AB13" s="34">
        <f t="shared" si="12"/>
        <v>0.4774586481907219</v>
      </c>
      <c r="AC13" s="13">
        <f>SUM(ПНД!M8)</f>
        <v>1018</v>
      </c>
      <c r="AD13" s="39"/>
      <c r="AE13" s="38">
        <f t="shared" si="1"/>
        <v>13.181908096982008</v>
      </c>
      <c r="AF13" s="13">
        <f t="shared" si="13"/>
        <v>16259.80442297786</v>
      </c>
      <c r="AG13" s="67">
        <f t="shared" si="14"/>
        <v>16259.804422977866</v>
      </c>
      <c r="AH13" s="37"/>
      <c r="AI13" s="67">
        <f t="shared" si="15"/>
        <v>1444.0307169107564</v>
      </c>
      <c r="AJ13" s="98">
        <f t="shared" si="16"/>
        <v>17703.835139888623</v>
      </c>
    </row>
    <row r="14" spans="1:36" s="30" customFormat="1" ht="18.75">
      <c r="A14" s="28" t="s">
        <v>12</v>
      </c>
      <c r="B14" s="133">
        <v>293</v>
      </c>
      <c r="C14" s="133">
        <v>293</v>
      </c>
      <c r="D14" s="133">
        <v>293</v>
      </c>
      <c r="E14" s="34">
        <f t="shared" si="2"/>
        <v>1.632870577698164</v>
      </c>
      <c r="F14" s="134">
        <v>5.3</v>
      </c>
      <c r="G14" s="34">
        <f t="shared" si="3"/>
        <v>0.8646454324019107</v>
      </c>
      <c r="H14" s="29"/>
      <c r="I14" s="13"/>
      <c r="J14" s="34">
        <f t="shared" si="0"/>
        <v>2.109065699658703</v>
      </c>
      <c r="K14" s="8"/>
      <c r="L14" s="8"/>
      <c r="M14" s="8"/>
      <c r="N14" s="36">
        <f t="shared" si="4"/>
        <v>1.905230822248472</v>
      </c>
      <c r="O14" s="134">
        <v>0</v>
      </c>
      <c r="P14" s="134">
        <v>2927.97</v>
      </c>
      <c r="Q14" s="134">
        <v>4.44</v>
      </c>
      <c r="R14" s="34">
        <f t="shared" si="5"/>
        <v>0.7006582630689367</v>
      </c>
      <c r="S14" s="11">
        <f t="shared" si="6"/>
        <v>1</v>
      </c>
      <c r="T14" s="34">
        <f t="shared" si="7"/>
        <v>1</v>
      </c>
      <c r="U14" s="13"/>
      <c r="V14" s="13"/>
      <c r="W14" s="34">
        <f t="shared" si="8"/>
        <v>0.9808194664657173</v>
      </c>
      <c r="X14" s="13">
        <f t="shared" si="9"/>
        <v>547.5254312215334</v>
      </c>
      <c r="Y14" s="34">
        <f t="shared" si="10"/>
        <v>1.8772022381444657</v>
      </c>
      <c r="Z14" s="38">
        <f>SUM(НПn2016!N14)</f>
        <v>258.6115787999225</v>
      </c>
      <c r="AA14" s="34">
        <f t="shared" si="11"/>
        <v>0.608026097115925</v>
      </c>
      <c r="AB14" s="34">
        <f t="shared" si="12"/>
        <v>0.3239001556470191</v>
      </c>
      <c r="AC14" s="13">
        <f>SUM(ПНД!M16)</f>
        <v>365.5</v>
      </c>
      <c r="AD14" s="39"/>
      <c r="AE14" s="38">
        <f t="shared" si="1"/>
        <v>13.181908096982008</v>
      </c>
      <c r="AF14" s="13">
        <f t="shared" si="13"/>
        <v>10158.182740315426</v>
      </c>
      <c r="AG14" s="67">
        <f t="shared" si="14"/>
        <v>10158.18274031543</v>
      </c>
      <c r="AH14" s="37"/>
      <c r="AI14" s="67">
        <f t="shared" si="15"/>
        <v>514.0959903461138</v>
      </c>
      <c r="AJ14" s="98">
        <f t="shared" si="16"/>
        <v>10672.278730661543</v>
      </c>
    </row>
    <row r="15" spans="1:36" s="32" customFormat="1" ht="18.75">
      <c r="A15" s="28" t="s">
        <v>13</v>
      </c>
      <c r="B15" s="31">
        <f>SUM(B3:B14)</f>
        <v>18231</v>
      </c>
      <c r="C15" s="31">
        <f>SUM(C3:C14)</f>
        <v>18231</v>
      </c>
      <c r="D15" s="31">
        <f>SUM(D3:D14)</f>
        <v>4099</v>
      </c>
      <c r="E15" s="48">
        <f t="shared" si="2"/>
        <v>1</v>
      </c>
      <c r="F15" s="10">
        <f>SUM(F3:F14)</f>
        <v>381.4</v>
      </c>
      <c r="G15" s="48">
        <f t="shared" si="3"/>
        <v>1</v>
      </c>
      <c r="H15" s="31">
        <f>B15/12</f>
        <v>1519.25</v>
      </c>
      <c r="I15" s="9">
        <v>0.735</v>
      </c>
      <c r="J15" s="48">
        <f t="shared" si="0"/>
        <v>0.7570833333333333</v>
      </c>
      <c r="K15" s="10">
        <f>SUM('а1 а2 а3'!O17)</f>
        <v>0.6204700182482275</v>
      </c>
      <c r="L15" s="10">
        <f>SUM('а1 а2 а3'!O24)</f>
        <v>0.030075234589405343</v>
      </c>
      <c r="M15" s="10">
        <f>SUM('а1 а2 а3'!O29)</f>
        <v>0.34945474716236724</v>
      </c>
      <c r="N15" s="36">
        <f>SUM(K$15*J15+L$15*G15+M$15*E15)</f>
        <v>0.8492774914005348</v>
      </c>
      <c r="O15" s="10">
        <f>SUM(O3:O14)/12</f>
        <v>106.42166666666668</v>
      </c>
      <c r="P15" s="10">
        <f>SUM(P3:P14)/12</f>
        <v>3456.191666666666</v>
      </c>
      <c r="Q15" s="10">
        <f>SUM(Q3:Q14)/12</f>
        <v>4.4399999999999995</v>
      </c>
      <c r="R15" s="48">
        <f t="shared" si="5"/>
        <v>1</v>
      </c>
      <c r="S15" s="9">
        <f t="shared" si="6"/>
        <v>1</v>
      </c>
      <c r="T15" s="48">
        <f t="shared" si="7"/>
        <v>1</v>
      </c>
      <c r="U15" s="10">
        <f>SUM('q1q2'!O26)</f>
        <v>0.5492855522074679</v>
      </c>
      <c r="V15" s="10">
        <f>SUM('q1q2'!O27)</f>
        <v>0.06407570735349853</v>
      </c>
      <c r="W15" s="48">
        <f t="shared" si="8"/>
        <v>0.9999999999999998</v>
      </c>
      <c r="X15" s="14">
        <f>SUM(X3:X14)</f>
        <v>18148.30641557142</v>
      </c>
      <c r="Y15" s="48">
        <f t="shared" si="10"/>
        <v>0.8531472629555357</v>
      </c>
      <c r="Z15" s="66">
        <f>SUM(Z3:Z14)</f>
        <v>26464.800000000007</v>
      </c>
      <c r="AA15" s="48"/>
      <c r="AB15" s="48"/>
      <c r="AC15" s="14">
        <f>SUM(AC3:AC14)</f>
        <v>26186.3</v>
      </c>
      <c r="AD15" s="75">
        <v>318999.1</v>
      </c>
      <c r="AE15" s="66">
        <f t="shared" si="1"/>
        <v>13.181908096982008</v>
      </c>
      <c r="AF15" s="14">
        <f>SUM(AF3:AF14)</f>
        <v>318999.09999999986</v>
      </c>
      <c r="AG15" s="68">
        <f>SUM(AG3:AG14)</f>
        <v>318999.10000000003</v>
      </c>
      <c r="AH15" s="75">
        <v>31988</v>
      </c>
      <c r="AI15" s="68">
        <f>SUM(AI3:AI14)</f>
        <v>31988.000000000004</v>
      </c>
      <c r="AJ15" s="99">
        <f>SUM(AJ3:AJ14)</f>
        <v>350987.10000000003</v>
      </c>
    </row>
    <row r="16" ht="23.25" customHeight="1"/>
    <row r="19" spans="18:28" ht="12.75">
      <c r="R19" s="164" t="s">
        <v>180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</row>
    <row r="20" spans="18:28" ht="12.75"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</row>
    <row r="21" spans="18:28" ht="12.75"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</row>
  </sheetData>
  <sheetProtection/>
  <mergeCells count="2">
    <mergeCell ref="A1:AJ1"/>
    <mergeCell ref="R19:AB21"/>
  </mergeCells>
  <printOptions/>
  <pageMargins left="0.2755905511811024" right="0.2755905511811024" top="0.7480314960629921" bottom="0.7480314960629921" header="0.31496062992125984" footer="0.31496062992125984"/>
  <pageSetup fitToWidth="2" horizontalDpi="600" verticalDpi="600" orientation="landscape" paperSize="9" scale="56" r:id="rId1"/>
  <colBreaks count="1" manualBreakCount="1">
    <brk id="17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7.8515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7" bestFit="1" customWidth="1"/>
    <col min="17" max="16384" width="9.140625" style="2" customWidth="1"/>
  </cols>
  <sheetData>
    <row r="1" spans="1:16" s="23" customFormat="1" ht="24.75" customHeight="1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P1" s="71"/>
    </row>
    <row r="2" spans="1:16" s="12" customFormat="1" ht="51">
      <c r="A2" s="7" t="s">
        <v>0</v>
      </c>
      <c r="B2" s="21" t="s">
        <v>36</v>
      </c>
      <c r="C2" s="21" t="s">
        <v>37</v>
      </c>
      <c r="D2" s="21" t="s">
        <v>38</v>
      </c>
      <c r="E2" s="33" t="s">
        <v>39</v>
      </c>
      <c r="F2" s="21" t="s">
        <v>43</v>
      </c>
      <c r="G2" s="21" t="s">
        <v>40</v>
      </c>
      <c r="H2" s="21" t="s">
        <v>41</v>
      </c>
      <c r="I2" s="33" t="s">
        <v>42</v>
      </c>
      <c r="J2" s="21" t="s">
        <v>44</v>
      </c>
      <c r="K2" s="21" t="s">
        <v>45</v>
      </c>
      <c r="L2" s="21" t="s">
        <v>46</v>
      </c>
      <c r="M2" s="33" t="s">
        <v>47</v>
      </c>
      <c r="N2" s="40" t="s">
        <v>14</v>
      </c>
      <c r="P2" s="18"/>
    </row>
    <row r="3" spans="1:16" s="147" customFormat="1" ht="18.75">
      <c r="A3" s="3" t="s">
        <v>1</v>
      </c>
      <c r="B3" s="139">
        <v>56075</v>
      </c>
      <c r="C3" s="44">
        <v>0.1</v>
      </c>
      <c r="D3" s="139">
        <v>123688.6</v>
      </c>
      <c r="E3" s="141">
        <f>B$15*C$15*(D3/D$15)</f>
        <v>7095.023020745846</v>
      </c>
      <c r="F3" s="139">
        <v>697</v>
      </c>
      <c r="G3" s="44">
        <v>1</v>
      </c>
      <c r="H3" s="139">
        <v>2150</v>
      </c>
      <c r="I3" s="141">
        <f>F$15*G$15*(H3/H$15)</f>
        <v>731.4375163057657</v>
      </c>
      <c r="J3" s="139">
        <v>1736</v>
      </c>
      <c r="K3" s="44">
        <v>1</v>
      </c>
      <c r="L3" s="139">
        <v>1311</v>
      </c>
      <c r="M3" s="141">
        <f>J$15*K$15*(L3/L$15)</f>
        <v>1269.5280982508375</v>
      </c>
      <c r="N3" s="146">
        <f>SUM(E3+I3+M3)</f>
        <v>9095.988635302449</v>
      </c>
      <c r="P3" s="148"/>
    </row>
    <row r="4" spans="1:16" s="147" customFormat="1" ht="18.75">
      <c r="A4" s="3" t="s">
        <v>2</v>
      </c>
      <c r="B4" s="139">
        <v>27188</v>
      </c>
      <c r="C4" s="44">
        <v>0.1</v>
      </c>
      <c r="D4" s="139">
        <v>31461.1</v>
      </c>
      <c r="E4" s="141">
        <f aca="true" t="shared" si="0" ref="E4:E14">B$15*C$15*(D4/D$15)</f>
        <v>1804.67099440035</v>
      </c>
      <c r="F4" s="139">
        <v>65</v>
      </c>
      <c r="G4" s="44">
        <v>1</v>
      </c>
      <c r="H4" s="139">
        <v>114</v>
      </c>
      <c r="I4" s="141">
        <f aca="true" t="shared" si="1" ref="I4:I14">F$15*G$15*(H4/H$15)</f>
        <v>38.78319853900339</v>
      </c>
      <c r="J4" s="139">
        <v>169</v>
      </c>
      <c r="K4" s="44">
        <v>1</v>
      </c>
      <c r="L4" s="139">
        <v>139</v>
      </c>
      <c r="M4" s="141">
        <f aca="true" t="shared" si="2" ref="M4:M14">J$15*K$15*(L4/L$15)</f>
        <v>134.6029028656494</v>
      </c>
      <c r="N4" s="146">
        <f aca="true" t="shared" si="3" ref="N4:N14">SUM(E4+I4+M4)</f>
        <v>1978.057095805003</v>
      </c>
      <c r="P4" s="148"/>
    </row>
    <row r="5" spans="1:16" s="147" customFormat="1" ht="18.75">
      <c r="A5" s="3" t="s">
        <v>3</v>
      </c>
      <c r="B5" s="139">
        <v>22769</v>
      </c>
      <c r="C5" s="44">
        <v>0.1</v>
      </c>
      <c r="D5" s="139">
        <v>32149.3</v>
      </c>
      <c r="E5" s="141">
        <f t="shared" si="0"/>
        <v>1844.1475091549619</v>
      </c>
      <c r="F5" s="139">
        <v>71</v>
      </c>
      <c r="G5" s="44">
        <v>1</v>
      </c>
      <c r="H5" s="139">
        <v>147</v>
      </c>
      <c r="I5" s="141">
        <f t="shared" si="1"/>
        <v>50.009913905557006</v>
      </c>
      <c r="J5" s="139">
        <v>88</v>
      </c>
      <c r="K5" s="44">
        <v>1</v>
      </c>
      <c r="L5" s="139">
        <v>128</v>
      </c>
      <c r="M5" s="141">
        <f t="shared" si="2"/>
        <v>123.95087458131746</v>
      </c>
      <c r="N5" s="146">
        <f t="shared" si="3"/>
        <v>2018.1082976418363</v>
      </c>
      <c r="P5" s="148"/>
    </row>
    <row r="6" spans="1:16" s="147" customFormat="1" ht="18.75">
      <c r="A6" s="3" t="s">
        <v>4</v>
      </c>
      <c r="B6" s="139">
        <v>3738</v>
      </c>
      <c r="C6" s="44">
        <v>0.1</v>
      </c>
      <c r="D6" s="139">
        <v>5740.1</v>
      </c>
      <c r="E6" s="141">
        <f t="shared" si="0"/>
        <v>329.26350238731163</v>
      </c>
      <c r="F6" s="139">
        <v>65</v>
      </c>
      <c r="G6" s="44">
        <v>1</v>
      </c>
      <c r="H6" s="139">
        <v>265</v>
      </c>
      <c r="I6" s="141">
        <f t="shared" si="1"/>
        <v>90.15392642838508</v>
      </c>
      <c r="J6" s="139">
        <v>82</v>
      </c>
      <c r="K6" s="44">
        <v>1</v>
      </c>
      <c r="L6" s="139">
        <v>60</v>
      </c>
      <c r="M6" s="141">
        <f t="shared" si="2"/>
        <v>58.10197245999256</v>
      </c>
      <c r="N6" s="146">
        <f t="shared" si="3"/>
        <v>477.5194012756893</v>
      </c>
      <c r="P6" s="148"/>
    </row>
    <row r="7" spans="1:16" s="147" customFormat="1" ht="18.75">
      <c r="A7" s="3" t="s">
        <v>5</v>
      </c>
      <c r="B7" s="139">
        <v>7986</v>
      </c>
      <c r="C7" s="44">
        <v>0.1</v>
      </c>
      <c r="D7" s="139">
        <v>11550.2</v>
      </c>
      <c r="E7" s="141">
        <f t="shared" si="0"/>
        <v>662.5423433866878</v>
      </c>
      <c r="F7" s="139">
        <v>60</v>
      </c>
      <c r="G7" s="44">
        <v>1</v>
      </c>
      <c r="H7" s="139">
        <v>144</v>
      </c>
      <c r="I7" s="141">
        <f t="shared" si="1"/>
        <v>48.9893034176885</v>
      </c>
      <c r="J7" s="139">
        <v>40</v>
      </c>
      <c r="K7" s="44">
        <v>1</v>
      </c>
      <c r="L7" s="139">
        <v>78</v>
      </c>
      <c r="M7" s="141">
        <f t="shared" si="2"/>
        <v>75.53256419799033</v>
      </c>
      <c r="N7" s="146">
        <f t="shared" si="3"/>
        <v>787.0642110023666</v>
      </c>
      <c r="P7" s="148"/>
    </row>
    <row r="8" spans="1:16" s="147" customFormat="1" ht="18.75">
      <c r="A8" s="3" t="s">
        <v>6</v>
      </c>
      <c r="B8" s="139">
        <v>7816</v>
      </c>
      <c r="C8" s="44">
        <v>0.1</v>
      </c>
      <c r="D8" s="139">
        <v>25476.4</v>
      </c>
      <c r="E8" s="141">
        <f t="shared" si="0"/>
        <v>1461.3767516628816</v>
      </c>
      <c r="F8" s="139">
        <v>30</v>
      </c>
      <c r="G8" s="44">
        <v>1</v>
      </c>
      <c r="H8" s="139">
        <v>131</v>
      </c>
      <c r="I8" s="141">
        <f t="shared" si="1"/>
        <v>44.56665797025829</v>
      </c>
      <c r="J8" s="139">
        <v>115</v>
      </c>
      <c r="K8" s="44">
        <v>1</v>
      </c>
      <c r="L8" s="139">
        <v>96</v>
      </c>
      <c r="M8" s="141">
        <f t="shared" si="2"/>
        <v>92.96315593598808</v>
      </c>
      <c r="N8" s="146">
        <f t="shared" si="3"/>
        <v>1598.906565569128</v>
      </c>
      <c r="P8" s="148"/>
    </row>
    <row r="9" spans="1:16" s="147" customFormat="1" ht="18.75">
      <c r="A9" s="3" t="s">
        <v>15</v>
      </c>
      <c r="B9" s="139">
        <v>19541</v>
      </c>
      <c r="C9" s="44">
        <v>0.1</v>
      </c>
      <c r="D9" s="139">
        <v>29199.5</v>
      </c>
      <c r="E9" s="141">
        <f t="shared" si="0"/>
        <v>1674.941140042561</v>
      </c>
      <c r="F9" s="139">
        <v>90</v>
      </c>
      <c r="G9" s="44">
        <v>1</v>
      </c>
      <c r="H9" s="139">
        <v>485</v>
      </c>
      <c r="I9" s="141">
        <f t="shared" si="1"/>
        <v>164.99869553874248</v>
      </c>
      <c r="J9" s="139">
        <v>147</v>
      </c>
      <c r="K9" s="44">
        <v>1</v>
      </c>
      <c r="L9" s="139">
        <v>281</v>
      </c>
      <c r="M9" s="141">
        <f t="shared" si="2"/>
        <v>272.11090435429844</v>
      </c>
      <c r="N9" s="146">
        <f t="shared" si="3"/>
        <v>2112.050739935602</v>
      </c>
      <c r="P9" s="148"/>
    </row>
    <row r="10" spans="1:16" s="147" customFormat="1" ht="18.75">
      <c r="A10" s="3" t="s">
        <v>8</v>
      </c>
      <c r="B10" s="139">
        <v>4592</v>
      </c>
      <c r="C10" s="44">
        <v>0.1</v>
      </c>
      <c r="D10" s="139">
        <v>6043.3</v>
      </c>
      <c r="E10" s="141">
        <f t="shared" si="0"/>
        <v>346.65565477556845</v>
      </c>
      <c r="F10" s="139">
        <v>19</v>
      </c>
      <c r="G10" s="44">
        <v>1</v>
      </c>
      <c r="H10" s="139">
        <v>60</v>
      </c>
      <c r="I10" s="141">
        <f t="shared" si="1"/>
        <v>20.412209757370206</v>
      </c>
      <c r="J10" s="139">
        <v>32</v>
      </c>
      <c r="K10" s="44">
        <v>1</v>
      </c>
      <c r="L10" s="139">
        <v>78</v>
      </c>
      <c r="M10" s="141">
        <f t="shared" si="2"/>
        <v>75.53256419799033</v>
      </c>
      <c r="N10" s="146">
        <f t="shared" si="3"/>
        <v>442.60042873092897</v>
      </c>
      <c r="P10" s="148"/>
    </row>
    <row r="11" spans="1:16" s="147" customFormat="1" ht="18.75">
      <c r="A11" s="3" t="s">
        <v>9</v>
      </c>
      <c r="B11" s="139">
        <v>6117</v>
      </c>
      <c r="C11" s="44">
        <v>0.1</v>
      </c>
      <c r="D11" s="139">
        <v>6565.3</v>
      </c>
      <c r="E11" s="141">
        <f t="shared" si="0"/>
        <v>376.5986084255356</v>
      </c>
      <c r="F11" s="139">
        <v>52</v>
      </c>
      <c r="G11" s="44">
        <v>1</v>
      </c>
      <c r="H11" s="139">
        <v>82</v>
      </c>
      <c r="I11" s="141">
        <f t="shared" si="1"/>
        <v>27.89668666840595</v>
      </c>
      <c r="J11" s="139">
        <v>47</v>
      </c>
      <c r="K11" s="44">
        <v>1</v>
      </c>
      <c r="L11" s="139">
        <v>95</v>
      </c>
      <c r="M11" s="141">
        <f t="shared" si="2"/>
        <v>91.99478972832155</v>
      </c>
      <c r="N11" s="146">
        <f t="shared" si="3"/>
        <v>496.4900848222631</v>
      </c>
      <c r="P11" s="148"/>
    </row>
    <row r="12" spans="1:16" s="147" customFormat="1" ht="18.75">
      <c r="A12" s="3" t="s">
        <v>10</v>
      </c>
      <c r="B12" s="139">
        <v>7646</v>
      </c>
      <c r="C12" s="44">
        <v>0.1</v>
      </c>
      <c r="D12" s="139">
        <v>13938.3</v>
      </c>
      <c r="E12" s="141">
        <f t="shared" si="0"/>
        <v>799.5284882362789</v>
      </c>
      <c r="F12" s="139">
        <v>71</v>
      </c>
      <c r="G12" s="44">
        <v>1</v>
      </c>
      <c r="H12" s="139">
        <v>132</v>
      </c>
      <c r="I12" s="141">
        <f t="shared" si="1"/>
        <v>44.90686146621445</v>
      </c>
      <c r="J12" s="139">
        <v>75</v>
      </c>
      <c r="K12" s="44">
        <v>1</v>
      </c>
      <c r="L12" s="139">
        <v>378</v>
      </c>
      <c r="M12" s="141">
        <f t="shared" si="2"/>
        <v>366.0424264979531</v>
      </c>
      <c r="N12" s="146">
        <f t="shared" si="3"/>
        <v>1210.4777762004464</v>
      </c>
      <c r="P12" s="148"/>
    </row>
    <row r="13" spans="1:16" s="147" customFormat="1" ht="18.75">
      <c r="A13" s="3" t="s">
        <v>11</v>
      </c>
      <c r="B13" s="139">
        <v>4248</v>
      </c>
      <c r="C13" s="44">
        <v>0.1</v>
      </c>
      <c r="D13" s="139">
        <v>7459.4</v>
      </c>
      <c r="E13" s="141">
        <f t="shared" si="0"/>
        <v>427.8859548976345</v>
      </c>
      <c r="F13" s="139">
        <v>58</v>
      </c>
      <c r="G13" s="44">
        <v>1</v>
      </c>
      <c r="H13" s="139">
        <v>88</v>
      </c>
      <c r="I13" s="141">
        <f t="shared" si="1"/>
        <v>29.937907644142967</v>
      </c>
      <c r="J13" s="139">
        <v>63</v>
      </c>
      <c r="K13" s="44">
        <v>1</v>
      </c>
      <c r="L13" s="139">
        <v>21</v>
      </c>
      <c r="M13" s="141">
        <f t="shared" si="2"/>
        <v>20.335690360997397</v>
      </c>
      <c r="N13" s="146">
        <f t="shared" si="3"/>
        <v>478.15955290277486</v>
      </c>
      <c r="P13" s="148"/>
    </row>
    <row r="14" spans="1:16" s="147" customFormat="1" ht="18.75">
      <c r="A14" s="3" t="s">
        <v>12</v>
      </c>
      <c r="B14" s="139">
        <v>2209</v>
      </c>
      <c r="C14" s="44">
        <v>0.1</v>
      </c>
      <c r="D14" s="139">
        <v>2961.3</v>
      </c>
      <c r="E14" s="141">
        <f t="shared" si="0"/>
        <v>169.86603188438283</v>
      </c>
      <c r="F14" s="139">
        <v>26</v>
      </c>
      <c r="G14" s="44">
        <v>1</v>
      </c>
      <c r="H14" s="139">
        <v>35</v>
      </c>
      <c r="I14" s="141">
        <f t="shared" si="1"/>
        <v>11.907122358465955</v>
      </c>
      <c r="J14" s="139">
        <v>8</v>
      </c>
      <c r="K14" s="44">
        <v>1</v>
      </c>
      <c r="L14" s="139">
        <v>22</v>
      </c>
      <c r="M14" s="141">
        <f t="shared" si="2"/>
        <v>21.30405656866394</v>
      </c>
      <c r="N14" s="146">
        <f t="shared" si="3"/>
        <v>203.0772108115127</v>
      </c>
      <c r="P14" s="148"/>
    </row>
    <row r="15" spans="1:16" s="5" customFormat="1" ht="18.75">
      <c r="A15" s="3" t="s">
        <v>13</v>
      </c>
      <c r="B15" s="140">
        <f>SUM(B3:B14)</f>
        <v>169925</v>
      </c>
      <c r="C15" s="14">
        <v>0.1</v>
      </c>
      <c r="D15" s="142">
        <f>SUM(D3:D14)</f>
        <v>296232.8</v>
      </c>
      <c r="E15" s="66"/>
      <c r="F15" s="142">
        <f>SUM(F3:F14)</f>
        <v>1304</v>
      </c>
      <c r="G15" s="14">
        <v>1</v>
      </c>
      <c r="H15" s="140">
        <f>SUM(H3:H14)</f>
        <v>3833</v>
      </c>
      <c r="I15" s="66"/>
      <c r="J15" s="142">
        <f>SUM(J3:J14)</f>
        <v>2602</v>
      </c>
      <c r="K15" s="14">
        <v>1</v>
      </c>
      <c r="L15" s="140">
        <f>SUM(L3:L14)</f>
        <v>2687</v>
      </c>
      <c r="M15" s="66"/>
      <c r="N15" s="145">
        <f>SUM(N3:N14)</f>
        <v>20898.500000000004</v>
      </c>
      <c r="P15" s="20"/>
    </row>
    <row r="16" ht="23.25" customHeight="1"/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7.8515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7" bestFit="1" customWidth="1"/>
    <col min="17" max="16384" width="9.140625" style="2" customWidth="1"/>
  </cols>
  <sheetData>
    <row r="1" spans="1:14" ht="24.75" customHeight="1">
      <c r="A1" s="165" t="s">
        <v>158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6" s="12" customFormat="1" ht="51">
      <c r="A2" s="7" t="s">
        <v>0</v>
      </c>
      <c r="B2" s="21" t="s">
        <v>36</v>
      </c>
      <c r="C2" s="21" t="s">
        <v>37</v>
      </c>
      <c r="D2" s="21" t="s">
        <v>38</v>
      </c>
      <c r="E2" s="33" t="s">
        <v>39</v>
      </c>
      <c r="F2" s="21" t="s">
        <v>43</v>
      </c>
      <c r="G2" s="21" t="s">
        <v>40</v>
      </c>
      <c r="H2" s="21" t="s">
        <v>41</v>
      </c>
      <c r="I2" s="33" t="s">
        <v>42</v>
      </c>
      <c r="J2" s="21" t="s">
        <v>44</v>
      </c>
      <c r="K2" s="21" t="s">
        <v>45</v>
      </c>
      <c r="L2" s="21" t="s">
        <v>46</v>
      </c>
      <c r="M2" s="33" t="s">
        <v>47</v>
      </c>
      <c r="N2" s="40" t="s">
        <v>14</v>
      </c>
      <c r="P2" s="18"/>
    </row>
    <row r="3" spans="1:16" s="147" customFormat="1" ht="18.75">
      <c r="A3" s="3" t="s">
        <v>1</v>
      </c>
      <c r="B3" s="139">
        <v>64486</v>
      </c>
      <c r="C3" s="44">
        <v>0.1</v>
      </c>
      <c r="D3" s="139">
        <v>123688.6</v>
      </c>
      <c r="E3" s="141">
        <f>B$15*C$15*(D3/D$15)</f>
        <v>8159.286912320311</v>
      </c>
      <c r="F3" s="139">
        <v>704</v>
      </c>
      <c r="G3" s="44">
        <v>1</v>
      </c>
      <c r="H3" s="139">
        <v>2150</v>
      </c>
      <c r="I3" s="141">
        <f>F$15*G$15*(H3/H$15)</f>
        <v>748.2650665275241</v>
      </c>
      <c r="J3" s="139">
        <v>1736</v>
      </c>
      <c r="K3" s="44">
        <v>1</v>
      </c>
      <c r="L3" s="139">
        <v>1311</v>
      </c>
      <c r="M3" s="141">
        <f>J$15*K$15*(L3/L$15)</f>
        <v>1284.6531447711202</v>
      </c>
      <c r="N3" s="146">
        <f>SUM(E3+I3+M3)</f>
        <v>10192.205123618955</v>
      </c>
      <c r="P3" s="148"/>
    </row>
    <row r="4" spans="1:16" s="147" customFormat="1" ht="18.75">
      <c r="A4" s="3" t="s">
        <v>2</v>
      </c>
      <c r="B4" s="139">
        <v>31266</v>
      </c>
      <c r="C4" s="44">
        <v>0.1</v>
      </c>
      <c r="D4" s="139">
        <v>31461.1</v>
      </c>
      <c r="E4" s="141">
        <f aca="true" t="shared" si="0" ref="E4:E14">B$15*C$15*(D4/D$15)</f>
        <v>2075.374298659703</v>
      </c>
      <c r="F4" s="139">
        <v>66</v>
      </c>
      <c r="G4" s="44">
        <v>1</v>
      </c>
      <c r="H4" s="139">
        <v>114</v>
      </c>
      <c r="I4" s="141">
        <f aca="true" t="shared" si="1" ref="I4:I14">F$15*G$15*(H4/H$15)</f>
        <v>39.675450039133835</v>
      </c>
      <c r="J4" s="139">
        <v>171</v>
      </c>
      <c r="K4" s="44">
        <v>1</v>
      </c>
      <c r="L4" s="139">
        <v>139</v>
      </c>
      <c r="M4" s="141">
        <f aca="true" t="shared" si="2" ref="M4:M14">J$15*K$15*(L4/L$15)</f>
        <v>136.20655005582435</v>
      </c>
      <c r="N4" s="146">
        <f aca="true" t="shared" si="3" ref="N4:N14">SUM(E4+I4+M4)</f>
        <v>2251.256298754661</v>
      </c>
      <c r="P4" s="148"/>
    </row>
    <row r="5" spans="1:16" s="147" customFormat="1" ht="18.75">
      <c r="A5" s="3" t="s">
        <v>3</v>
      </c>
      <c r="B5" s="139">
        <v>26185</v>
      </c>
      <c r="C5" s="44">
        <v>0.1</v>
      </c>
      <c r="D5" s="139">
        <v>32149.3</v>
      </c>
      <c r="E5" s="141">
        <f t="shared" si="0"/>
        <v>2120.772348706828</v>
      </c>
      <c r="F5" s="139">
        <v>71</v>
      </c>
      <c r="G5" s="44">
        <v>1</v>
      </c>
      <c r="H5" s="139">
        <v>147</v>
      </c>
      <c r="I5" s="141">
        <f t="shared" si="1"/>
        <v>51.16044873467258</v>
      </c>
      <c r="J5" s="139">
        <v>88</v>
      </c>
      <c r="K5" s="44">
        <v>1</v>
      </c>
      <c r="L5" s="139">
        <v>128</v>
      </c>
      <c r="M5" s="141">
        <f t="shared" si="2"/>
        <v>125.4276144398958</v>
      </c>
      <c r="N5" s="146">
        <f t="shared" si="3"/>
        <v>2297.3604118813964</v>
      </c>
      <c r="P5" s="148"/>
    </row>
    <row r="6" spans="1:16" s="147" customFormat="1" ht="18.75">
      <c r="A6" s="3" t="s">
        <v>4</v>
      </c>
      <c r="B6" s="139">
        <v>4299</v>
      </c>
      <c r="C6" s="44">
        <v>0.1</v>
      </c>
      <c r="D6" s="139">
        <v>5740.1</v>
      </c>
      <c r="E6" s="141">
        <f t="shared" si="0"/>
        <v>378.65351217015814</v>
      </c>
      <c r="F6" s="139">
        <v>65</v>
      </c>
      <c r="G6" s="44">
        <v>1</v>
      </c>
      <c r="H6" s="139">
        <v>265</v>
      </c>
      <c r="I6" s="141">
        <f t="shared" si="1"/>
        <v>92.22801982781112</v>
      </c>
      <c r="J6" s="139">
        <v>87</v>
      </c>
      <c r="K6" s="44">
        <v>1</v>
      </c>
      <c r="L6" s="139">
        <v>60</v>
      </c>
      <c r="M6" s="141">
        <f t="shared" si="2"/>
        <v>58.794194268701155</v>
      </c>
      <c r="N6" s="146">
        <f t="shared" si="3"/>
        <v>529.6757262666704</v>
      </c>
      <c r="P6" s="148"/>
    </row>
    <row r="7" spans="1:16" s="147" customFormat="1" ht="18.75">
      <c r="A7" s="3" t="s">
        <v>5</v>
      </c>
      <c r="B7" s="139">
        <v>9184</v>
      </c>
      <c r="C7" s="44">
        <v>0.1</v>
      </c>
      <c r="D7" s="139">
        <v>11550.2</v>
      </c>
      <c r="E7" s="141">
        <f t="shared" si="0"/>
        <v>761.9246696517065</v>
      </c>
      <c r="F7" s="139">
        <v>60</v>
      </c>
      <c r="G7" s="44">
        <v>1</v>
      </c>
      <c r="H7" s="139">
        <v>144</v>
      </c>
      <c r="I7" s="141">
        <f t="shared" si="1"/>
        <v>50.11635794416906</v>
      </c>
      <c r="J7" s="139">
        <v>50</v>
      </c>
      <c r="K7" s="44">
        <v>1</v>
      </c>
      <c r="L7" s="139">
        <v>78</v>
      </c>
      <c r="M7" s="141">
        <f t="shared" si="2"/>
        <v>76.4324525493115</v>
      </c>
      <c r="N7" s="146">
        <f t="shared" si="3"/>
        <v>888.4734801451871</v>
      </c>
      <c r="P7" s="148"/>
    </row>
    <row r="8" spans="1:16" s="147" customFormat="1" ht="18.75">
      <c r="A8" s="3" t="s">
        <v>6</v>
      </c>
      <c r="B8" s="139">
        <v>8989</v>
      </c>
      <c r="C8" s="44">
        <v>0.1</v>
      </c>
      <c r="D8" s="139">
        <v>25476.4</v>
      </c>
      <c r="E8" s="141">
        <f t="shared" si="0"/>
        <v>1680.5854144443158</v>
      </c>
      <c r="F8" s="139">
        <v>30</v>
      </c>
      <c r="G8" s="44">
        <v>1</v>
      </c>
      <c r="H8" s="139">
        <v>131</v>
      </c>
      <c r="I8" s="141">
        <f t="shared" si="1"/>
        <v>45.5919645186538</v>
      </c>
      <c r="J8" s="139">
        <v>118</v>
      </c>
      <c r="K8" s="44">
        <v>1</v>
      </c>
      <c r="L8" s="139">
        <v>96</v>
      </c>
      <c r="M8" s="141">
        <f t="shared" si="2"/>
        <v>94.07071082992184</v>
      </c>
      <c r="N8" s="146">
        <f t="shared" si="3"/>
        <v>1820.2480897928915</v>
      </c>
      <c r="P8" s="148"/>
    </row>
    <row r="9" spans="1:16" s="147" customFormat="1" ht="18.75">
      <c r="A9" s="3" t="s">
        <v>15</v>
      </c>
      <c r="B9" s="139">
        <v>22472</v>
      </c>
      <c r="C9" s="44">
        <v>0.1</v>
      </c>
      <c r="D9" s="139">
        <v>29199.5</v>
      </c>
      <c r="E9" s="141">
        <f t="shared" si="0"/>
        <v>1926.1847752848437</v>
      </c>
      <c r="F9" s="139">
        <v>108</v>
      </c>
      <c r="G9" s="44">
        <v>1</v>
      </c>
      <c r="H9" s="139">
        <v>485</v>
      </c>
      <c r="I9" s="141">
        <f t="shared" si="1"/>
        <v>168.7946777980694</v>
      </c>
      <c r="J9" s="139">
        <v>155</v>
      </c>
      <c r="K9" s="44">
        <v>1</v>
      </c>
      <c r="L9" s="139">
        <v>281</v>
      </c>
      <c r="M9" s="141">
        <f t="shared" si="2"/>
        <v>275.35280982508374</v>
      </c>
      <c r="N9" s="146">
        <f t="shared" si="3"/>
        <v>2370.3322629079967</v>
      </c>
      <c r="P9" s="148"/>
    </row>
    <row r="10" spans="1:16" s="147" customFormat="1" ht="18.75">
      <c r="A10" s="3" t="s">
        <v>8</v>
      </c>
      <c r="B10" s="139">
        <v>5281</v>
      </c>
      <c r="C10" s="44">
        <v>0.1</v>
      </c>
      <c r="D10" s="139">
        <v>6043.3</v>
      </c>
      <c r="E10" s="141">
        <f t="shared" si="0"/>
        <v>398.654513004637</v>
      </c>
      <c r="F10" s="139">
        <v>19</v>
      </c>
      <c r="G10" s="44">
        <v>1</v>
      </c>
      <c r="H10" s="139">
        <v>60</v>
      </c>
      <c r="I10" s="141">
        <f t="shared" si="1"/>
        <v>20.881815810070442</v>
      </c>
      <c r="J10" s="139">
        <v>32</v>
      </c>
      <c r="K10" s="44">
        <v>1</v>
      </c>
      <c r="L10" s="139">
        <v>78</v>
      </c>
      <c r="M10" s="141">
        <f t="shared" si="2"/>
        <v>76.4324525493115</v>
      </c>
      <c r="N10" s="146">
        <f t="shared" si="3"/>
        <v>495.968781364019</v>
      </c>
      <c r="P10" s="148"/>
    </row>
    <row r="11" spans="1:16" s="147" customFormat="1" ht="18.75">
      <c r="A11" s="3" t="s">
        <v>9</v>
      </c>
      <c r="B11" s="139">
        <v>7034</v>
      </c>
      <c r="C11" s="44">
        <v>0.1</v>
      </c>
      <c r="D11" s="139">
        <v>6565.3</v>
      </c>
      <c r="E11" s="141">
        <f t="shared" si="0"/>
        <v>433.0889537552898</v>
      </c>
      <c r="F11" s="139">
        <v>52</v>
      </c>
      <c r="G11" s="44">
        <v>1</v>
      </c>
      <c r="H11" s="139">
        <v>82</v>
      </c>
      <c r="I11" s="141">
        <f t="shared" si="1"/>
        <v>28.53848160709627</v>
      </c>
      <c r="J11" s="139">
        <v>47</v>
      </c>
      <c r="K11" s="44">
        <v>1</v>
      </c>
      <c r="L11" s="139">
        <v>95</v>
      </c>
      <c r="M11" s="141">
        <f t="shared" si="2"/>
        <v>93.09080759211015</v>
      </c>
      <c r="N11" s="146">
        <f t="shared" si="3"/>
        <v>554.7182429544963</v>
      </c>
      <c r="P11" s="148"/>
    </row>
    <row r="12" spans="1:16" s="4" customFormat="1" ht="18.75">
      <c r="A12" s="3" t="s">
        <v>10</v>
      </c>
      <c r="B12" s="139">
        <v>8793</v>
      </c>
      <c r="C12" s="44">
        <v>0.1</v>
      </c>
      <c r="D12" s="139">
        <v>13938.3</v>
      </c>
      <c r="E12" s="141">
        <f t="shared" si="0"/>
        <v>919.4589377678636</v>
      </c>
      <c r="F12" s="139">
        <v>72</v>
      </c>
      <c r="G12" s="44">
        <v>1</v>
      </c>
      <c r="H12" s="139">
        <v>132</v>
      </c>
      <c r="I12" s="141">
        <f t="shared" si="1"/>
        <v>45.93999478215497</v>
      </c>
      <c r="J12" s="139">
        <v>75</v>
      </c>
      <c r="K12" s="44">
        <v>1</v>
      </c>
      <c r="L12" s="139">
        <v>378</v>
      </c>
      <c r="M12" s="143">
        <f t="shared" si="2"/>
        <v>370.4034238928173</v>
      </c>
      <c r="N12" s="144">
        <f t="shared" si="3"/>
        <v>1335.8023564428358</v>
      </c>
      <c r="P12" s="19"/>
    </row>
    <row r="13" spans="1:16" s="4" customFormat="1" ht="18.75">
      <c r="A13" s="3" t="s">
        <v>11</v>
      </c>
      <c r="B13" s="139">
        <v>4885</v>
      </c>
      <c r="C13" s="44">
        <v>0.1</v>
      </c>
      <c r="D13" s="139">
        <v>7459.4</v>
      </c>
      <c r="E13" s="141">
        <f t="shared" si="0"/>
        <v>492.06947765406125</v>
      </c>
      <c r="F13" s="139">
        <v>61</v>
      </c>
      <c r="G13" s="44">
        <v>1</v>
      </c>
      <c r="H13" s="139">
        <v>88</v>
      </c>
      <c r="I13" s="141">
        <f t="shared" si="1"/>
        <v>30.62666318810331</v>
      </c>
      <c r="J13" s="139">
        <v>66</v>
      </c>
      <c r="K13" s="44">
        <v>1</v>
      </c>
      <c r="L13" s="139">
        <v>21</v>
      </c>
      <c r="M13" s="143">
        <f t="shared" si="2"/>
        <v>20.577967994045405</v>
      </c>
      <c r="N13" s="144">
        <f t="shared" si="3"/>
        <v>543.27410883621</v>
      </c>
      <c r="P13" s="19"/>
    </row>
    <row r="14" spans="1:16" s="4" customFormat="1" ht="18.75">
      <c r="A14" s="3" t="s">
        <v>12</v>
      </c>
      <c r="B14" s="139">
        <v>2540</v>
      </c>
      <c r="C14" s="44">
        <v>0.1</v>
      </c>
      <c r="D14" s="139">
        <v>2961.3</v>
      </c>
      <c r="E14" s="141">
        <f t="shared" si="0"/>
        <v>195.34618658028418</v>
      </c>
      <c r="F14" s="139">
        <v>26</v>
      </c>
      <c r="G14" s="44">
        <v>1</v>
      </c>
      <c r="H14" s="139">
        <v>35</v>
      </c>
      <c r="I14" s="141">
        <f t="shared" si="1"/>
        <v>12.18105922254109</v>
      </c>
      <c r="J14" s="139">
        <v>8</v>
      </c>
      <c r="K14" s="44">
        <v>1</v>
      </c>
      <c r="L14" s="139">
        <v>22</v>
      </c>
      <c r="M14" s="143">
        <f t="shared" si="2"/>
        <v>21.557871231857092</v>
      </c>
      <c r="N14" s="144">
        <f t="shared" si="3"/>
        <v>229.08511703468236</v>
      </c>
      <c r="P14" s="19"/>
    </row>
    <row r="15" spans="1:16" s="5" customFormat="1" ht="18.75">
      <c r="A15" s="3" t="s">
        <v>13</v>
      </c>
      <c r="B15" s="142">
        <f>SUM(B3:B14)</f>
        <v>195414</v>
      </c>
      <c r="C15" s="47">
        <v>0.1</v>
      </c>
      <c r="D15" s="142">
        <f>SUM(D3:D14)</f>
        <v>296232.8</v>
      </c>
      <c r="E15" s="49"/>
      <c r="F15" s="142">
        <f>SUM(F3:F14)</f>
        <v>1334</v>
      </c>
      <c r="G15" s="47">
        <v>1</v>
      </c>
      <c r="H15" s="142">
        <f>SUM(H3:H14)</f>
        <v>3833</v>
      </c>
      <c r="I15" s="49"/>
      <c r="J15" s="142">
        <f>SUM(J3:J14)</f>
        <v>2633</v>
      </c>
      <c r="K15" s="47">
        <v>1</v>
      </c>
      <c r="L15" s="140">
        <f>SUM(L3:L14)</f>
        <v>2687</v>
      </c>
      <c r="M15" s="66"/>
      <c r="N15" s="145">
        <f>SUM(N3:N14)</f>
        <v>23508.4</v>
      </c>
      <c r="P15" s="20"/>
    </row>
    <row r="16" ht="23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7.8515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7" bestFit="1" customWidth="1"/>
    <col min="17" max="16384" width="9.140625" style="2" customWidth="1"/>
  </cols>
  <sheetData>
    <row r="1" spans="1:16" s="23" customFormat="1" ht="24.75" customHeight="1">
      <c r="A1" s="165" t="s">
        <v>175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P1" s="71"/>
    </row>
    <row r="2" spans="1:16" s="12" customFormat="1" ht="51">
      <c r="A2" s="7" t="s">
        <v>0</v>
      </c>
      <c r="B2" s="21" t="s">
        <v>36</v>
      </c>
      <c r="C2" s="21" t="s">
        <v>37</v>
      </c>
      <c r="D2" s="21" t="s">
        <v>38</v>
      </c>
      <c r="E2" s="33" t="s">
        <v>39</v>
      </c>
      <c r="F2" s="21" t="s">
        <v>43</v>
      </c>
      <c r="G2" s="21" t="s">
        <v>40</v>
      </c>
      <c r="H2" s="21" t="s">
        <v>41</v>
      </c>
      <c r="I2" s="33" t="s">
        <v>42</v>
      </c>
      <c r="J2" s="21" t="s">
        <v>44</v>
      </c>
      <c r="K2" s="21" t="s">
        <v>45</v>
      </c>
      <c r="L2" s="21" t="s">
        <v>46</v>
      </c>
      <c r="M2" s="33" t="s">
        <v>47</v>
      </c>
      <c r="N2" s="40" t="s">
        <v>14</v>
      </c>
      <c r="P2" s="18"/>
    </row>
    <row r="3" spans="1:16" s="147" customFormat="1" ht="18.75">
      <c r="A3" s="3" t="s">
        <v>1</v>
      </c>
      <c r="B3" s="139">
        <v>74159</v>
      </c>
      <c r="C3" s="44">
        <v>0.1</v>
      </c>
      <c r="D3" s="139">
        <v>123688.6</v>
      </c>
      <c r="E3" s="141">
        <f>B$15*C$15*(D3/D$15)</f>
        <v>9383.175773783323</v>
      </c>
      <c r="F3" s="139">
        <v>711</v>
      </c>
      <c r="G3" s="44">
        <v>1</v>
      </c>
      <c r="H3" s="139">
        <v>2150</v>
      </c>
      <c r="I3" s="141">
        <f>F$15*G$15*(H3/H$15)</f>
        <v>759.1468823375947</v>
      </c>
      <c r="J3" s="139">
        <v>1736</v>
      </c>
      <c r="K3" s="44">
        <v>1</v>
      </c>
      <c r="L3" s="139">
        <v>1311</v>
      </c>
      <c r="M3" s="141">
        <f>J$15*K$15*(L3/L$15)</f>
        <v>1287.4829921845926</v>
      </c>
      <c r="N3" s="146">
        <f>SUM(E3+I3+M3)</f>
        <v>11429.80564830551</v>
      </c>
      <c r="P3" s="148"/>
    </row>
    <row r="4" spans="1:16" s="147" customFormat="1" ht="18.75">
      <c r="A4" s="3" t="s">
        <v>2</v>
      </c>
      <c r="B4" s="139">
        <v>35956</v>
      </c>
      <c r="C4" s="44">
        <v>0.1</v>
      </c>
      <c r="D4" s="139">
        <v>31461.1</v>
      </c>
      <c r="E4" s="141">
        <f aca="true" t="shared" si="0" ref="E4:E14">B$15*C$15*(D4/D$15)</f>
        <v>2386.679381418938</v>
      </c>
      <c r="F4" s="139">
        <v>67</v>
      </c>
      <c r="G4" s="44">
        <v>1</v>
      </c>
      <c r="H4" s="139">
        <v>114</v>
      </c>
      <c r="I4" s="141">
        <f aca="true" t="shared" si="1" ref="I4:I14">F$15*G$15*(H4/H$15)</f>
        <v>40.252439342551526</v>
      </c>
      <c r="J4" s="139">
        <v>173</v>
      </c>
      <c r="K4" s="44">
        <v>1</v>
      </c>
      <c r="L4" s="139">
        <v>139</v>
      </c>
      <c r="M4" s="141">
        <f aca="true" t="shared" si="2" ref="M4:M14">J$15*K$15*(L4/L$15)</f>
        <v>136.5065872720506</v>
      </c>
      <c r="N4" s="146">
        <f aca="true" t="shared" si="3" ref="N4:N14">SUM(E4+I4+M4)</f>
        <v>2563.4384080335403</v>
      </c>
      <c r="P4" s="148"/>
    </row>
    <row r="5" spans="1:16" s="147" customFormat="1" ht="18.75">
      <c r="A5" s="3" t="s">
        <v>3</v>
      </c>
      <c r="B5" s="139">
        <v>30113</v>
      </c>
      <c r="C5" s="44">
        <v>0.1</v>
      </c>
      <c r="D5" s="139">
        <v>32149.3</v>
      </c>
      <c r="E5" s="141">
        <f t="shared" si="0"/>
        <v>2438.8871157414037</v>
      </c>
      <c r="F5" s="139">
        <v>71</v>
      </c>
      <c r="G5" s="44">
        <v>1</v>
      </c>
      <c r="H5" s="139">
        <v>147</v>
      </c>
      <c r="I5" s="141">
        <f t="shared" si="1"/>
        <v>51.90446125750066</v>
      </c>
      <c r="J5" s="139">
        <v>88</v>
      </c>
      <c r="K5" s="44">
        <v>1</v>
      </c>
      <c r="L5" s="139">
        <v>128</v>
      </c>
      <c r="M5" s="141">
        <f t="shared" si="2"/>
        <v>125.70390770375886</v>
      </c>
      <c r="N5" s="146">
        <f t="shared" si="3"/>
        <v>2616.4954847026634</v>
      </c>
      <c r="P5" s="148"/>
    </row>
    <row r="6" spans="1:16" s="147" customFormat="1" ht="18.75">
      <c r="A6" s="3" t="s">
        <v>4</v>
      </c>
      <c r="B6" s="139">
        <v>4943</v>
      </c>
      <c r="C6" s="44">
        <v>0.1</v>
      </c>
      <c r="D6" s="139">
        <v>5740.1</v>
      </c>
      <c r="E6" s="141">
        <f t="shared" si="0"/>
        <v>435.45134522578195</v>
      </c>
      <c r="F6" s="139">
        <v>65</v>
      </c>
      <c r="G6" s="44">
        <v>1</v>
      </c>
      <c r="H6" s="139">
        <v>265</v>
      </c>
      <c r="I6" s="141">
        <f t="shared" si="1"/>
        <v>93.5692668927733</v>
      </c>
      <c r="J6" s="139">
        <v>87</v>
      </c>
      <c r="K6" s="44">
        <v>1</v>
      </c>
      <c r="L6" s="139">
        <v>60</v>
      </c>
      <c r="M6" s="141">
        <f t="shared" si="2"/>
        <v>58.923706736136964</v>
      </c>
      <c r="N6" s="146">
        <f t="shared" si="3"/>
        <v>587.9443188546923</v>
      </c>
      <c r="P6" s="148"/>
    </row>
    <row r="7" spans="1:16" s="147" customFormat="1" ht="18.75">
      <c r="A7" s="3" t="s">
        <v>5</v>
      </c>
      <c r="B7" s="139">
        <v>10562</v>
      </c>
      <c r="C7" s="44">
        <v>0.1</v>
      </c>
      <c r="D7" s="139">
        <v>11550.2</v>
      </c>
      <c r="E7" s="141">
        <f t="shared" si="0"/>
        <v>876.2129801966563</v>
      </c>
      <c r="F7" s="139">
        <v>60</v>
      </c>
      <c r="G7" s="44">
        <v>1</v>
      </c>
      <c r="H7" s="139">
        <v>144</v>
      </c>
      <c r="I7" s="141">
        <f t="shared" si="1"/>
        <v>50.845186537959826</v>
      </c>
      <c r="J7" s="139">
        <v>50</v>
      </c>
      <c r="K7" s="44">
        <v>1</v>
      </c>
      <c r="L7" s="139">
        <v>78</v>
      </c>
      <c r="M7" s="141">
        <f t="shared" si="2"/>
        <v>76.60081875697804</v>
      </c>
      <c r="N7" s="146">
        <f t="shared" si="3"/>
        <v>1003.6589854915942</v>
      </c>
      <c r="P7" s="148"/>
    </row>
    <row r="8" spans="1:16" s="147" customFormat="1" ht="18.75">
      <c r="A8" s="3" t="s">
        <v>6</v>
      </c>
      <c r="B8" s="139">
        <v>10337</v>
      </c>
      <c r="C8" s="44">
        <v>0.1</v>
      </c>
      <c r="D8" s="139">
        <v>25476.4</v>
      </c>
      <c r="E8" s="141">
        <f t="shared" si="0"/>
        <v>1932.6723665981624</v>
      </c>
      <c r="F8" s="139">
        <v>30</v>
      </c>
      <c r="G8" s="44">
        <v>1</v>
      </c>
      <c r="H8" s="139">
        <v>131</v>
      </c>
      <c r="I8" s="141">
        <f t="shared" si="1"/>
        <v>46.25499608661624</v>
      </c>
      <c r="J8" s="139">
        <v>110</v>
      </c>
      <c r="K8" s="44">
        <v>1</v>
      </c>
      <c r="L8" s="139">
        <v>96</v>
      </c>
      <c r="M8" s="141">
        <f t="shared" si="2"/>
        <v>94.27793077781912</v>
      </c>
      <c r="N8" s="146">
        <f t="shared" si="3"/>
        <v>2073.2052934625976</v>
      </c>
      <c r="P8" s="148"/>
    </row>
    <row r="9" spans="1:16" s="147" customFormat="1" ht="18.75">
      <c r="A9" s="3" t="s">
        <v>15</v>
      </c>
      <c r="B9" s="139">
        <v>25843</v>
      </c>
      <c r="C9" s="44">
        <v>0.1</v>
      </c>
      <c r="D9" s="139">
        <v>29199.5</v>
      </c>
      <c r="E9" s="141">
        <f t="shared" si="0"/>
        <v>2215.111505883211</v>
      </c>
      <c r="F9" s="139">
        <v>113.4</v>
      </c>
      <c r="G9" s="44">
        <v>1</v>
      </c>
      <c r="H9" s="139">
        <v>485</v>
      </c>
      <c r="I9" s="141">
        <f t="shared" si="1"/>
        <v>171.24941299243412</v>
      </c>
      <c r="J9" s="139">
        <v>162.8</v>
      </c>
      <c r="K9" s="44">
        <v>1</v>
      </c>
      <c r="L9" s="139">
        <v>281</v>
      </c>
      <c r="M9" s="141">
        <f t="shared" si="2"/>
        <v>275.9593598809081</v>
      </c>
      <c r="N9" s="146">
        <f t="shared" si="3"/>
        <v>2662.3202787565533</v>
      </c>
      <c r="P9" s="148"/>
    </row>
    <row r="10" spans="1:16" s="147" customFormat="1" ht="18.75">
      <c r="A10" s="3" t="s">
        <v>8</v>
      </c>
      <c r="B10" s="139">
        <v>6072</v>
      </c>
      <c r="C10" s="44">
        <v>0.1</v>
      </c>
      <c r="D10" s="139">
        <v>6043.3</v>
      </c>
      <c r="E10" s="141">
        <f t="shared" si="0"/>
        <v>458.45248595023924</v>
      </c>
      <c r="F10" s="139">
        <v>20</v>
      </c>
      <c r="G10" s="44">
        <v>1</v>
      </c>
      <c r="H10" s="139">
        <v>60</v>
      </c>
      <c r="I10" s="141">
        <f t="shared" si="1"/>
        <v>21.185494390816594</v>
      </c>
      <c r="J10" s="139">
        <v>32</v>
      </c>
      <c r="K10" s="44">
        <v>1</v>
      </c>
      <c r="L10" s="139">
        <v>78</v>
      </c>
      <c r="M10" s="141">
        <f t="shared" si="2"/>
        <v>76.60081875697804</v>
      </c>
      <c r="N10" s="146">
        <f t="shared" si="3"/>
        <v>556.2387990980338</v>
      </c>
      <c r="P10" s="148"/>
    </row>
    <row r="11" spans="1:16" s="147" customFormat="1" ht="18.75">
      <c r="A11" s="3" t="s">
        <v>9</v>
      </c>
      <c r="B11" s="139">
        <v>8090</v>
      </c>
      <c r="C11" s="44">
        <v>0.1</v>
      </c>
      <c r="D11" s="139">
        <v>6565.3</v>
      </c>
      <c r="E11" s="141">
        <f t="shared" si="0"/>
        <v>498.05207519221375</v>
      </c>
      <c r="F11" s="139">
        <v>52</v>
      </c>
      <c r="G11" s="44">
        <v>1</v>
      </c>
      <c r="H11" s="139">
        <v>82</v>
      </c>
      <c r="I11" s="141">
        <f t="shared" si="1"/>
        <v>28.95350900078268</v>
      </c>
      <c r="J11" s="139">
        <v>47</v>
      </c>
      <c r="K11" s="44">
        <v>1</v>
      </c>
      <c r="L11" s="139">
        <v>95</v>
      </c>
      <c r="M11" s="141">
        <f t="shared" si="2"/>
        <v>93.29586899888352</v>
      </c>
      <c r="N11" s="146">
        <f t="shared" si="3"/>
        <v>620.30145319188</v>
      </c>
      <c r="P11" s="148"/>
    </row>
    <row r="12" spans="1:16" s="147" customFormat="1" ht="18.75">
      <c r="A12" s="3" t="s">
        <v>10</v>
      </c>
      <c r="B12" s="139">
        <v>10112</v>
      </c>
      <c r="C12" s="44">
        <v>0.1</v>
      </c>
      <c r="D12" s="139">
        <v>13938.3</v>
      </c>
      <c r="E12" s="141">
        <f t="shared" si="0"/>
        <v>1057.377307914586</v>
      </c>
      <c r="F12" s="139">
        <v>72</v>
      </c>
      <c r="G12" s="44">
        <v>1</v>
      </c>
      <c r="H12" s="139">
        <v>132</v>
      </c>
      <c r="I12" s="141">
        <f t="shared" si="1"/>
        <v>46.6080876597965</v>
      </c>
      <c r="J12" s="139">
        <v>75</v>
      </c>
      <c r="K12" s="44">
        <v>1</v>
      </c>
      <c r="L12" s="139">
        <v>378</v>
      </c>
      <c r="M12" s="141">
        <f t="shared" si="2"/>
        <v>371.21935243766285</v>
      </c>
      <c r="N12" s="146">
        <f t="shared" si="3"/>
        <v>1475.2047480120452</v>
      </c>
      <c r="P12" s="148"/>
    </row>
    <row r="13" spans="1:16" s="147" customFormat="1" ht="18.75">
      <c r="A13" s="3" t="s">
        <v>11</v>
      </c>
      <c r="B13" s="139">
        <v>5618</v>
      </c>
      <c r="C13" s="44">
        <v>0.1</v>
      </c>
      <c r="D13" s="139">
        <v>7459.4</v>
      </c>
      <c r="E13" s="141">
        <f t="shared" si="0"/>
        <v>565.8796474934578</v>
      </c>
      <c r="F13" s="139">
        <v>64</v>
      </c>
      <c r="G13" s="44">
        <v>1</v>
      </c>
      <c r="H13" s="139">
        <v>88</v>
      </c>
      <c r="I13" s="141">
        <f t="shared" si="1"/>
        <v>31.07205843986434</v>
      </c>
      <c r="J13" s="139">
        <v>69</v>
      </c>
      <c r="K13" s="44">
        <v>1</v>
      </c>
      <c r="L13" s="139">
        <v>21</v>
      </c>
      <c r="M13" s="141">
        <f t="shared" si="2"/>
        <v>20.623297357647935</v>
      </c>
      <c r="N13" s="146">
        <f t="shared" si="3"/>
        <v>617.5750032909701</v>
      </c>
      <c r="P13" s="148"/>
    </row>
    <row r="14" spans="1:16" s="147" customFormat="1" ht="18.75">
      <c r="A14" s="3" t="s">
        <v>12</v>
      </c>
      <c r="B14" s="139">
        <v>2921</v>
      </c>
      <c r="C14" s="44">
        <v>0.1</v>
      </c>
      <c r="D14" s="139">
        <v>2961.3</v>
      </c>
      <c r="E14" s="141">
        <f t="shared" si="0"/>
        <v>224.64801460202924</v>
      </c>
      <c r="F14" s="139">
        <v>28</v>
      </c>
      <c r="G14" s="44">
        <v>1</v>
      </c>
      <c r="H14" s="139">
        <v>35</v>
      </c>
      <c r="I14" s="141">
        <f t="shared" si="1"/>
        <v>12.35820506130968</v>
      </c>
      <c r="J14" s="139">
        <v>9</v>
      </c>
      <c r="K14" s="44">
        <v>1</v>
      </c>
      <c r="L14" s="139">
        <v>22</v>
      </c>
      <c r="M14" s="141">
        <f t="shared" si="2"/>
        <v>21.605359136583555</v>
      </c>
      <c r="N14" s="146">
        <f t="shared" si="3"/>
        <v>258.6115787999225</v>
      </c>
      <c r="P14" s="148"/>
    </row>
    <row r="15" spans="1:16" s="5" customFormat="1" ht="18.75">
      <c r="A15" s="3" t="s">
        <v>13</v>
      </c>
      <c r="B15" s="140">
        <f>SUM(B3:B14)</f>
        <v>224726</v>
      </c>
      <c r="C15" s="14">
        <v>0.1</v>
      </c>
      <c r="D15" s="140">
        <f>SUM(D3:D14)</f>
        <v>296232.8</v>
      </c>
      <c r="E15" s="66"/>
      <c r="F15" s="142">
        <f>SUM(F3:F14)</f>
        <v>1353.4</v>
      </c>
      <c r="G15" s="14">
        <v>1</v>
      </c>
      <c r="H15" s="140">
        <f>SUM(H3:H14)</f>
        <v>3833</v>
      </c>
      <c r="I15" s="66"/>
      <c r="J15" s="142">
        <f>SUM(J3:J14)</f>
        <v>2638.8</v>
      </c>
      <c r="K15" s="14">
        <v>1</v>
      </c>
      <c r="L15" s="140">
        <f>SUM(L3:L14)</f>
        <v>2687</v>
      </c>
      <c r="M15" s="66"/>
      <c r="N15" s="145">
        <f>SUM(N3:N14)</f>
        <v>26464.800000000007</v>
      </c>
      <c r="P15" s="20"/>
    </row>
    <row r="16" ht="23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7.00390625" style="114" customWidth="1"/>
    <col min="2" max="2" width="12.7109375" style="112" customWidth="1"/>
    <col min="3" max="3" width="12.57421875" style="112" customWidth="1"/>
    <col min="4" max="4" width="13.28125" style="112" customWidth="1"/>
    <col min="5" max="5" width="11.421875" style="112" customWidth="1"/>
    <col min="6" max="6" width="12.421875" style="112" customWidth="1"/>
    <col min="7" max="7" width="11.7109375" style="112" customWidth="1"/>
    <col min="8" max="8" width="12.28125" style="112" customWidth="1"/>
    <col min="9" max="9" width="11.7109375" style="112" customWidth="1"/>
    <col min="10" max="10" width="12.57421875" style="112" customWidth="1"/>
    <col min="11" max="11" width="11.7109375" style="112" customWidth="1"/>
    <col min="12" max="13" width="10.140625" style="112" bestFit="1" customWidth="1"/>
    <col min="14" max="232" width="9.140625" style="112" customWidth="1"/>
    <col min="233" max="16384" width="9.140625" style="113" customWidth="1"/>
  </cols>
  <sheetData>
    <row r="1" spans="1:13" ht="12.75">
      <c r="A1" s="169" t="s">
        <v>171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ht="12.75">
      <c r="M2" s="112" t="s">
        <v>79</v>
      </c>
    </row>
    <row r="3" spans="1:232" ht="47.25" customHeight="1">
      <c r="A3" s="166" t="s">
        <v>80</v>
      </c>
      <c r="B3" s="167" t="s">
        <v>61</v>
      </c>
      <c r="C3" s="167"/>
      <c r="D3" s="167"/>
      <c r="E3" s="167" t="s">
        <v>62</v>
      </c>
      <c r="F3" s="167"/>
      <c r="G3" s="167"/>
      <c r="H3" s="167" t="s">
        <v>63</v>
      </c>
      <c r="I3" s="167"/>
      <c r="J3" s="167"/>
      <c r="K3" s="168" t="s">
        <v>78</v>
      </c>
      <c r="L3" s="168"/>
      <c r="M3" s="168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</row>
    <row r="4" spans="1:13" ht="12.75" customHeight="1">
      <c r="A4" s="166"/>
      <c r="B4" s="115" t="s">
        <v>64</v>
      </c>
      <c r="C4" s="116" t="s">
        <v>159</v>
      </c>
      <c r="D4" s="117" t="s">
        <v>172</v>
      </c>
      <c r="E4" s="115" t="s">
        <v>64</v>
      </c>
      <c r="F4" s="116" t="s">
        <v>159</v>
      </c>
      <c r="G4" s="117" t="s">
        <v>172</v>
      </c>
      <c r="H4" s="115" t="s">
        <v>64</v>
      </c>
      <c r="I4" s="116" t="s">
        <v>159</v>
      </c>
      <c r="J4" s="117" t="s">
        <v>172</v>
      </c>
      <c r="K4" s="115" t="s">
        <v>64</v>
      </c>
      <c r="L4" s="116" t="s">
        <v>159</v>
      </c>
      <c r="M4" s="117" t="s">
        <v>172</v>
      </c>
    </row>
    <row r="5" spans="1:232" ht="13.5" customHeight="1">
      <c r="A5" s="118" t="s">
        <v>65</v>
      </c>
      <c r="B5" s="119">
        <v>5705</v>
      </c>
      <c r="C5" s="120">
        <v>6076</v>
      </c>
      <c r="D5" s="121">
        <v>6471</v>
      </c>
      <c r="E5" s="122">
        <v>697</v>
      </c>
      <c r="F5" s="123">
        <v>704</v>
      </c>
      <c r="G5" s="124">
        <v>711</v>
      </c>
      <c r="H5" s="122">
        <v>1736</v>
      </c>
      <c r="I5" s="123">
        <v>1736</v>
      </c>
      <c r="J5" s="124">
        <v>1736</v>
      </c>
      <c r="K5" s="125">
        <f>SUM(B5+E5+H5)</f>
        <v>8138</v>
      </c>
      <c r="L5" s="126">
        <f>SUM(C5+F5+I5)</f>
        <v>8516</v>
      </c>
      <c r="M5" s="127">
        <f>SUM(D5+G5+J5)</f>
        <v>8918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</row>
    <row r="6" spans="1:232" ht="13.5" customHeight="1">
      <c r="A6" s="118" t="s">
        <v>66</v>
      </c>
      <c r="B6" s="119">
        <v>3150</v>
      </c>
      <c r="C6" s="120">
        <v>3155</v>
      </c>
      <c r="D6" s="121">
        <v>3160</v>
      </c>
      <c r="E6" s="122">
        <v>65</v>
      </c>
      <c r="F6" s="123">
        <v>66</v>
      </c>
      <c r="G6" s="124">
        <v>67</v>
      </c>
      <c r="H6" s="122">
        <v>169</v>
      </c>
      <c r="I6" s="123">
        <v>171</v>
      </c>
      <c r="J6" s="124">
        <v>173</v>
      </c>
      <c r="K6" s="125">
        <f aca="true" t="shared" si="0" ref="K6:M16">SUM(B6+E6+H6)</f>
        <v>3384</v>
      </c>
      <c r="L6" s="126">
        <f t="shared" si="0"/>
        <v>3392</v>
      </c>
      <c r="M6" s="127">
        <f t="shared" si="0"/>
        <v>3400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</row>
    <row r="7" spans="1:232" ht="13.5" customHeight="1">
      <c r="A7" s="118" t="s">
        <v>67</v>
      </c>
      <c r="B7" s="119">
        <v>2334</v>
      </c>
      <c r="C7" s="120">
        <v>2404</v>
      </c>
      <c r="D7" s="121">
        <v>2572.3</v>
      </c>
      <c r="E7" s="122">
        <v>71</v>
      </c>
      <c r="F7" s="123">
        <v>71</v>
      </c>
      <c r="G7" s="124">
        <v>71</v>
      </c>
      <c r="H7" s="122">
        <v>88</v>
      </c>
      <c r="I7" s="123">
        <v>88</v>
      </c>
      <c r="J7" s="124">
        <v>88</v>
      </c>
      <c r="K7" s="125">
        <f t="shared" si="0"/>
        <v>2493</v>
      </c>
      <c r="L7" s="126">
        <f t="shared" si="0"/>
        <v>2563</v>
      </c>
      <c r="M7" s="127">
        <f t="shared" si="0"/>
        <v>2731.3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</row>
    <row r="8" spans="1:232" ht="13.5" customHeight="1">
      <c r="A8" s="118" t="s">
        <v>68</v>
      </c>
      <c r="B8" s="119">
        <v>803</v>
      </c>
      <c r="C8" s="120">
        <v>843</v>
      </c>
      <c r="D8" s="121">
        <v>885</v>
      </c>
      <c r="E8" s="122">
        <v>58</v>
      </c>
      <c r="F8" s="123">
        <v>61</v>
      </c>
      <c r="G8" s="124">
        <v>64</v>
      </c>
      <c r="H8" s="122">
        <v>63</v>
      </c>
      <c r="I8" s="123">
        <v>66</v>
      </c>
      <c r="J8" s="124">
        <v>69</v>
      </c>
      <c r="K8" s="125">
        <f t="shared" si="0"/>
        <v>924</v>
      </c>
      <c r="L8" s="126">
        <f t="shared" si="0"/>
        <v>970</v>
      </c>
      <c r="M8" s="127">
        <f t="shared" si="0"/>
        <v>1018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</row>
    <row r="9" spans="1:232" ht="13.5" customHeight="1">
      <c r="A9" s="118" t="s">
        <v>69</v>
      </c>
      <c r="B9" s="119">
        <v>1100</v>
      </c>
      <c r="C9" s="120">
        <v>1130</v>
      </c>
      <c r="D9" s="121">
        <v>1160</v>
      </c>
      <c r="E9" s="122">
        <v>60</v>
      </c>
      <c r="F9" s="123">
        <v>60</v>
      </c>
      <c r="G9" s="124">
        <v>60</v>
      </c>
      <c r="H9" s="122">
        <v>40</v>
      </c>
      <c r="I9" s="123">
        <v>50</v>
      </c>
      <c r="J9" s="124">
        <v>50</v>
      </c>
      <c r="K9" s="125">
        <f t="shared" si="0"/>
        <v>1200</v>
      </c>
      <c r="L9" s="126">
        <f t="shared" si="0"/>
        <v>1240</v>
      </c>
      <c r="M9" s="127">
        <f t="shared" si="0"/>
        <v>1270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</row>
    <row r="10" spans="1:232" ht="13.5" customHeight="1">
      <c r="A10" s="118" t="s">
        <v>70</v>
      </c>
      <c r="B10" s="119">
        <v>560</v>
      </c>
      <c r="C10" s="120">
        <v>560</v>
      </c>
      <c r="D10" s="121">
        <v>560</v>
      </c>
      <c r="E10" s="122">
        <v>19</v>
      </c>
      <c r="F10" s="123">
        <v>19</v>
      </c>
      <c r="G10" s="124">
        <v>20</v>
      </c>
      <c r="H10" s="122">
        <v>32</v>
      </c>
      <c r="I10" s="123">
        <v>32</v>
      </c>
      <c r="J10" s="124">
        <v>32</v>
      </c>
      <c r="K10" s="125">
        <f t="shared" si="0"/>
        <v>611</v>
      </c>
      <c r="L10" s="126">
        <f t="shared" si="0"/>
        <v>611</v>
      </c>
      <c r="M10" s="127">
        <f t="shared" si="0"/>
        <v>612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</row>
    <row r="11" spans="1:232" ht="13.5" customHeight="1">
      <c r="A11" s="118" t="s">
        <v>71</v>
      </c>
      <c r="B11" s="119">
        <v>1320</v>
      </c>
      <c r="C11" s="120">
        <v>1386</v>
      </c>
      <c r="D11" s="121">
        <v>1450</v>
      </c>
      <c r="E11" s="122">
        <v>71</v>
      </c>
      <c r="F11" s="123">
        <v>72</v>
      </c>
      <c r="G11" s="124">
        <v>72</v>
      </c>
      <c r="H11" s="122">
        <v>75</v>
      </c>
      <c r="I11" s="123">
        <v>75</v>
      </c>
      <c r="J11" s="124">
        <v>75</v>
      </c>
      <c r="K11" s="125">
        <f t="shared" si="0"/>
        <v>1466</v>
      </c>
      <c r="L11" s="126">
        <f t="shared" si="0"/>
        <v>1533</v>
      </c>
      <c r="M11" s="127">
        <f t="shared" si="0"/>
        <v>1597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</row>
    <row r="12" spans="1:232" ht="13.5" customHeight="1">
      <c r="A12" s="118" t="s">
        <v>72</v>
      </c>
      <c r="B12" s="119">
        <v>2624</v>
      </c>
      <c r="C12" s="120">
        <v>2746</v>
      </c>
      <c r="D12" s="121">
        <v>2883.3</v>
      </c>
      <c r="E12" s="122">
        <v>90</v>
      </c>
      <c r="F12" s="123">
        <v>108</v>
      </c>
      <c r="G12" s="124">
        <v>113.4</v>
      </c>
      <c r="H12" s="122">
        <v>147</v>
      </c>
      <c r="I12" s="123">
        <v>155</v>
      </c>
      <c r="J12" s="124">
        <v>162.8</v>
      </c>
      <c r="K12" s="125">
        <f t="shared" si="0"/>
        <v>2861</v>
      </c>
      <c r="L12" s="126">
        <f t="shared" si="0"/>
        <v>3009</v>
      </c>
      <c r="M12" s="127">
        <f t="shared" si="0"/>
        <v>3159.5000000000005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</row>
    <row r="13" spans="1:232" ht="13.5" customHeight="1">
      <c r="A13" s="118" t="s">
        <v>73</v>
      </c>
      <c r="B13" s="119">
        <v>425</v>
      </c>
      <c r="C13" s="120">
        <v>425</v>
      </c>
      <c r="D13" s="121">
        <v>430</v>
      </c>
      <c r="E13" s="122">
        <v>65</v>
      </c>
      <c r="F13" s="123">
        <v>65</v>
      </c>
      <c r="G13" s="124">
        <v>65</v>
      </c>
      <c r="H13" s="122">
        <v>82</v>
      </c>
      <c r="I13" s="123">
        <v>87</v>
      </c>
      <c r="J13" s="124">
        <v>87</v>
      </c>
      <c r="K13" s="125">
        <f t="shared" si="0"/>
        <v>572</v>
      </c>
      <c r="L13" s="126">
        <f t="shared" si="0"/>
        <v>577</v>
      </c>
      <c r="M13" s="127">
        <f t="shared" si="0"/>
        <v>582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</row>
    <row r="14" spans="1:232" ht="13.5" customHeight="1">
      <c r="A14" s="118" t="s">
        <v>74</v>
      </c>
      <c r="B14" s="119">
        <v>1450</v>
      </c>
      <c r="C14" s="120">
        <v>1500</v>
      </c>
      <c r="D14" s="121">
        <v>1550</v>
      </c>
      <c r="E14" s="122">
        <v>30</v>
      </c>
      <c r="F14" s="123">
        <v>30</v>
      </c>
      <c r="G14" s="124">
        <v>30</v>
      </c>
      <c r="H14" s="122">
        <v>115</v>
      </c>
      <c r="I14" s="123">
        <v>118</v>
      </c>
      <c r="J14" s="124">
        <v>110</v>
      </c>
      <c r="K14" s="125">
        <f t="shared" si="0"/>
        <v>1595</v>
      </c>
      <c r="L14" s="126">
        <f t="shared" si="0"/>
        <v>1648</v>
      </c>
      <c r="M14" s="127">
        <f t="shared" si="0"/>
        <v>1690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</row>
    <row r="15" spans="1:232" ht="13.5" customHeight="1">
      <c r="A15" s="118" t="s">
        <v>75</v>
      </c>
      <c r="B15" s="119">
        <v>679</v>
      </c>
      <c r="C15" s="120">
        <v>709</v>
      </c>
      <c r="D15" s="121">
        <v>744</v>
      </c>
      <c r="E15" s="122">
        <v>52</v>
      </c>
      <c r="F15" s="123">
        <v>52</v>
      </c>
      <c r="G15" s="124">
        <v>52</v>
      </c>
      <c r="H15" s="122">
        <v>47</v>
      </c>
      <c r="I15" s="123">
        <v>47</v>
      </c>
      <c r="J15" s="124">
        <v>47</v>
      </c>
      <c r="K15" s="125">
        <f t="shared" si="0"/>
        <v>778</v>
      </c>
      <c r="L15" s="126">
        <f t="shared" si="0"/>
        <v>808</v>
      </c>
      <c r="M15" s="127">
        <f t="shared" si="0"/>
        <v>843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</row>
    <row r="16" spans="1:232" ht="13.5" customHeight="1">
      <c r="A16" s="118" t="s">
        <v>76</v>
      </c>
      <c r="B16" s="119">
        <v>284</v>
      </c>
      <c r="C16" s="120">
        <v>307</v>
      </c>
      <c r="D16" s="121">
        <v>328.5</v>
      </c>
      <c r="E16" s="122">
        <v>26</v>
      </c>
      <c r="F16" s="123">
        <v>26</v>
      </c>
      <c r="G16" s="124">
        <v>28</v>
      </c>
      <c r="H16" s="122">
        <v>8</v>
      </c>
      <c r="I16" s="123">
        <v>8</v>
      </c>
      <c r="J16" s="124">
        <v>9</v>
      </c>
      <c r="K16" s="125">
        <f t="shared" si="0"/>
        <v>318</v>
      </c>
      <c r="L16" s="126">
        <f>SUM(C16+F16+I16)</f>
        <v>341</v>
      </c>
      <c r="M16" s="127">
        <f t="shared" si="0"/>
        <v>365.5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</row>
    <row r="17" spans="1:13" s="132" customFormat="1" ht="12.75">
      <c r="A17" s="128" t="s">
        <v>77</v>
      </c>
      <c r="B17" s="129">
        <f>SUM(B5:B16)</f>
        <v>20434</v>
      </c>
      <c r="C17" s="130">
        <f aca="true" t="shared" si="1" ref="C17:M17">SUM(C5:C16)</f>
        <v>21241</v>
      </c>
      <c r="D17" s="131">
        <f t="shared" si="1"/>
        <v>22194.1</v>
      </c>
      <c r="E17" s="129">
        <f t="shared" si="1"/>
        <v>1304</v>
      </c>
      <c r="F17" s="130">
        <f t="shared" si="1"/>
        <v>1334</v>
      </c>
      <c r="G17" s="131">
        <f t="shared" si="1"/>
        <v>1353.4</v>
      </c>
      <c r="H17" s="129">
        <f t="shared" si="1"/>
        <v>2602</v>
      </c>
      <c r="I17" s="130">
        <f t="shared" si="1"/>
        <v>2633</v>
      </c>
      <c r="J17" s="131">
        <f t="shared" si="1"/>
        <v>2638.8</v>
      </c>
      <c r="K17" s="129">
        <f t="shared" si="1"/>
        <v>24340</v>
      </c>
      <c r="L17" s="130">
        <f t="shared" si="1"/>
        <v>25208</v>
      </c>
      <c r="M17" s="131">
        <f t="shared" si="1"/>
        <v>26186.3</v>
      </c>
    </row>
    <row r="18" s="112" customFormat="1" ht="12.75"/>
    <row r="19" s="112" customFormat="1" ht="12.75"/>
  </sheetData>
  <sheetProtection password="CF72" sheet="1"/>
  <mergeCells count="6">
    <mergeCell ref="A3:A4"/>
    <mergeCell ref="B3:D3"/>
    <mergeCell ref="E3:G3"/>
    <mergeCell ref="H3:J3"/>
    <mergeCell ref="K3:M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10.140625" style="0" bestFit="1" customWidth="1"/>
    <col min="3" max="3" width="16.421875" style="0" bestFit="1" customWidth="1"/>
    <col min="4" max="4" width="10.7109375" style="0" bestFit="1" customWidth="1"/>
    <col min="5" max="5" width="17.7109375" style="0" bestFit="1" customWidth="1"/>
    <col min="6" max="6" width="8.00390625" style="0" bestFit="1" customWidth="1"/>
    <col min="7" max="7" width="10.42187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2" width="8.00390625" style="0" bestFit="1" customWidth="1"/>
    <col min="13" max="13" width="9.28125" style="0" bestFit="1" customWidth="1"/>
    <col min="14" max="14" width="9.7109375" style="0" bestFit="1" customWidth="1"/>
  </cols>
  <sheetData>
    <row r="1" spans="1:14" ht="18.75">
      <c r="A1" s="170" t="s">
        <v>173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3" spans="1:14" ht="15">
      <c r="A3" s="77" t="s">
        <v>115</v>
      </c>
      <c r="B3" s="78" t="s">
        <v>116</v>
      </c>
      <c r="C3" s="78" t="s">
        <v>1</v>
      </c>
      <c r="D3" s="78" t="s">
        <v>10</v>
      </c>
      <c r="E3" s="78" t="s">
        <v>8</v>
      </c>
      <c r="F3" s="78" t="s">
        <v>11</v>
      </c>
      <c r="G3" s="78" t="s">
        <v>15</v>
      </c>
      <c r="H3" s="78" t="s">
        <v>117</v>
      </c>
      <c r="I3" s="78" t="s">
        <v>2</v>
      </c>
      <c r="J3" s="78" t="s">
        <v>6</v>
      </c>
      <c r="K3" s="78" t="s">
        <v>12</v>
      </c>
      <c r="L3" s="78" t="s">
        <v>3</v>
      </c>
      <c r="M3" s="78" t="s">
        <v>4</v>
      </c>
      <c r="N3" s="78" t="s">
        <v>118</v>
      </c>
    </row>
    <row r="4" spans="1:14" ht="1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">
      <c r="A5" s="81" t="s">
        <v>119</v>
      </c>
      <c r="B5" s="109">
        <v>10648.8</v>
      </c>
      <c r="C5" s="109">
        <v>21992.5</v>
      </c>
      <c r="D5" s="109">
        <v>13457.5</v>
      </c>
      <c r="E5" s="109">
        <v>8258.8</v>
      </c>
      <c r="F5" s="109">
        <v>10211</v>
      </c>
      <c r="G5" s="109">
        <v>15668.7</v>
      </c>
      <c r="H5" s="109">
        <v>10078.4</v>
      </c>
      <c r="I5" s="109">
        <v>10588.9</v>
      </c>
      <c r="J5" s="109">
        <v>12762.3</v>
      </c>
      <c r="K5" s="109">
        <v>6083.3</v>
      </c>
      <c r="L5" s="109">
        <v>14877</v>
      </c>
      <c r="M5" s="109">
        <v>7253.2</v>
      </c>
      <c r="N5" s="109">
        <f>SUM(B5:M5)</f>
        <v>141880.40000000002</v>
      </c>
    </row>
    <row r="6" spans="1:14" ht="15">
      <c r="A6" s="81" t="s">
        <v>120</v>
      </c>
      <c r="B6" s="109">
        <v>356</v>
      </c>
      <c r="C6" s="109">
        <v>996.3</v>
      </c>
      <c r="D6" s="109">
        <v>350.5</v>
      </c>
      <c r="E6" s="109">
        <v>230.4</v>
      </c>
      <c r="F6" s="109">
        <v>332.8</v>
      </c>
      <c r="G6" s="109">
        <v>247</v>
      </c>
      <c r="H6" s="109">
        <v>343.1</v>
      </c>
      <c r="I6" s="109">
        <v>457.5</v>
      </c>
      <c r="J6" s="109">
        <v>323</v>
      </c>
      <c r="K6" s="109">
        <v>180.8</v>
      </c>
      <c r="L6" s="109">
        <v>532.1</v>
      </c>
      <c r="M6" s="109">
        <v>175.6</v>
      </c>
      <c r="N6" s="109">
        <f>SUM(B6:M6)</f>
        <v>4525.1</v>
      </c>
    </row>
    <row r="7" spans="1:14" ht="15">
      <c r="A7" s="81" t="s">
        <v>121</v>
      </c>
      <c r="B7" s="109">
        <v>2836.1</v>
      </c>
      <c r="C7" s="109">
        <v>5429.3</v>
      </c>
      <c r="D7" s="109">
        <v>4191.7</v>
      </c>
      <c r="E7" s="109">
        <v>2357.3</v>
      </c>
      <c r="F7" s="109">
        <v>2666.9</v>
      </c>
      <c r="G7" s="109">
        <v>4191.6</v>
      </c>
      <c r="H7" s="109">
        <v>2718.1</v>
      </c>
      <c r="I7" s="109">
        <v>2842.2</v>
      </c>
      <c r="J7" s="109">
        <v>4005.9</v>
      </c>
      <c r="K7" s="109">
        <v>1692.9</v>
      </c>
      <c r="L7" s="109">
        <v>3309.9</v>
      </c>
      <c r="M7" s="109">
        <v>2775</v>
      </c>
      <c r="N7" s="109">
        <f>SUM(B7:M7)</f>
        <v>39016.9</v>
      </c>
    </row>
    <row r="8" spans="1:14" ht="15">
      <c r="A8" s="81" t="s">
        <v>122</v>
      </c>
      <c r="B8" s="109">
        <v>169.1</v>
      </c>
      <c r="C8" s="109">
        <v>287.6</v>
      </c>
      <c r="D8" s="109">
        <v>323.4</v>
      </c>
      <c r="E8" s="109">
        <v>221.8</v>
      </c>
      <c r="F8" s="109">
        <v>154.4</v>
      </c>
      <c r="G8" s="109">
        <v>410.6</v>
      </c>
      <c r="H8" s="109">
        <v>210.9</v>
      </c>
      <c r="I8" s="109">
        <v>201.5</v>
      </c>
      <c r="J8" s="109">
        <v>443.2</v>
      </c>
      <c r="K8" s="109">
        <v>275.5</v>
      </c>
      <c r="L8" s="109">
        <v>361</v>
      </c>
      <c r="M8" s="109">
        <v>178.2</v>
      </c>
      <c r="N8" s="109">
        <f aca="true" t="shared" si="0" ref="N8:N21">SUM(B8:M8)</f>
        <v>3237.2</v>
      </c>
    </row>
    <row r="9" spans="1:14" ht="15">
      <c r="A9" s="81" t="s">
        <v>123</v>
      </c>
      <c r="B9" s="109">
        <v>289.9</v>
      </c>
      <c r="C9" s="109">
        <v>92.4</v>
      </c>
      <c r="D9" s="109">
        <v>556.5</v>
      </c>
      <c r="E9" s="109">
        <v>447</v>
      </c>
      <c r="F9" s="109">
        <v>278</v>
      </c>
      <c r="G9" s="109">
        <v>114.2</v>
      </c>
      <c r="H9" s="109">
        <v>145.5</v>
      </c>
      <c r="I9" s="109">
        <v>65.8</v>
      </c>
      <c r="J9" s="109">
        <v>110.3</v>
      </c>
      <c r="K9" s="109">
        <v>67.8</v>
      </c>
      <c r="L9" s="109">
        <v>605.9</v>
      </c>
      <c r="M9" s="109">
        <v>119.2</v>
      </c>
      <c r="N9" s="109">
        <f t="shared" si="0"/>
        <v>2892.5</v>
      </c>
    </row>
    <row r="10" spans="1:14" ht="15">
      <c r="A10" s="81" t="s">
        <v>124</v>
      </c>
      <c r="B10" s="109">
        <v>1565.7</v>
      </c>
      <c r="C10" s="109">
        <v>1861.6</v>
      </c>
      <c r="D10" s="109">
        <v>1586.4</v>
      </c>
      <c r="E10" s="109">
        <v>858.8</v>
      </c>
      <c r="F10" s="109">
        <v>1142.6</v>
      </c>
      <c r="G10" s="109">
        <v>2365.6</v>
      </c>
      <c r="H10" s="109">
        <v>1928.3</v>
      </c>
      <c r="I10" s="109">
        <v>1117.1</v>
      </c>
      <c r="J10" s="109">
        <v>3597.4</v>
      </c>
      <c r="K10" s="109">
        <v>663.7</v>
      </c>
      <c r="L10" s="109">
        <v>1614.6</v>
      </c>
      <c r="M10" s="109">
        <v>1611</v>
      </c>
      <c r="N10" s="109">
        <f t="shared" si="0"/>
        <v>19912.8</v>
      </c>
    </row>
    <row r="11" spans="1:14" ht="15">
      <c r="A11" s="81" t="s">
        <v>125</v>
      </c>
      <c r="B11" s="109">
        <v>1.7</v>
      </c>
      <c r="C11" s="109"/>
      <c r="D11" s="109"/>
      <c r="E11" s="109"/>
      <c r="F11" s="109"/>
      <c r="G11" s="109"/>
      <c r="H11" s="109">
        <v>39.2</v>
      </c>
      <c r="I11" s="109"/>
      <c r="J11" s="109"/>
      <c r="K11" s="109"/>
      <c r="L11" s="109"/>
      <c r="M11" s="109">
        <v>99</v>
      </c>
      <c r="N11" s="109">
        <f t="shared" si="0"/>
        <v>139.9</v>
      </c>
    </row>
    <row r="12" spans="1:14" ht="15">
      <c r="A12" s="81" t="s">
        <v>126</v>
      </c>
      <c r="B12" s="109">
        <v>1762</v>
      </c>
      <c r="C12" s="109">
        <v>33802.3</v>
      </c>
      <c r="D12" s="109">
        <v>3106.4</v>
      </c>
      <c r="E12" s="109">
        <v>3622.1</v>
      </c>
      <c r="F12" s="109">
        <v>1444.6</v>
      </c>
      <c r="G12" s="109">
        <v>5795.6</v>
      </c>
      <c r="H12" s="109">
        <v>2947.9</v>
      </c>
      <c r="I12" s="109">
        <v>4299.9</v>
      </c>
      <c r="J12" s="109">
        <v>2524.9</v>
      </c>
      <c r="K12" s="109">
        <v>785.5</v>
      </c>
      <c r="L12" s="109">
        <v>4938</v>
      </c>
      <c r="M12" s="109">
        <v>1098.5</v>
      </c>
      <c r="N12" s="109">
        <f t="shared" si="0"/>
        <v>66127.70000000001</v>
      </c>
    </row>
    <row r="13" spans="1:14" ht="15">
      <c r="A13" s="81" t="s">
        <v>127</v>
      </c>
      <c r="B13" s="109">
        <v>1552.9</v>
      </c>
      <c r="C13" s="109">
        <v>7091.7</v>
      </c>
      <c r="D13" s="109">
        <v>2080.1</v>
      </c>
      <c r="E13" s="109">
        <v>1244</v>
      </c>
      <c r="F13" s="109">
        <v>1619</v>
      </c>
      <c r="G13" s="109">
        <v>5191.9</v>
      </c>
      <c r="H13" s="109">
        <v>1752.5</v>
      </c>
      <c r="I13" s="109">
        <v>3844.4</v>
      </c>
      <c r="J13" s="109">
        <v>2247.8</v>
      </c>
      <c r="K13" s="109">
        <v>549.9</v>
      </c>
      <c r="L13" s="109">
        <v>2211</v>
      </c>
      <c r="M13" s="109">
        <v>1362.4</v>
      </c>
      <c r="N13" s="109">
        <f t="shared" si="0"/>
        <v>30747.600000000002</v>
      </c>
    </row>
    <row r="14" spans="1:14" ht="15">
      <c r="A14" s="81" t="s">
        <v>128</v>
      </c>
      <c r="B14" s="109"/>
      <c r="C14" s="109">
        <v>28524.2</v>
      </c>
      <c r="D14" s="109"/>
      <c r="E14" s="109"/>
      <c r="F14" s="109"/>
      <c r="G14" s="109">
        <v>20650.9</v>
      </c>
      <c r="H14" s="109"/>
      <c r="I14" s="109"/>
      <c r="J14" s="109"/>
      <c r="K14" s="109"/>
      <c r="L14" s="109"/>
      <c r="M14" s="109">
        <v>2506.4</v>
      </c>
      <c r="N14" s="109">
        <f t="shared" si="0"/>
        <v>51681.50000000001</v>
      </c>
    </row>
    <row r="15" spans="1:14" ht="15">
      <c r="A15" s="81" t="s">
        <v>129</v>
      </c>
      <c r="B15" s="109"/>
      <c r="C15" s="109">
        <v>930.9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>
        <f t="shared" si="0"/>
        <v>930.9</v>
      </c>
    </row>
    <row r="16" spans="1:14" ht="15">
      <c r="A16" s="81" t="s">
        <v>130</v>
      </c>
      <c r="B16" s="109">
        <v>873.8</v>
      </c>
      <c r="C16" s="109">
        <v>10</v>
      </c>
      <c r="D16" s="109">
        <v>865.8</v>
      </c>
      <c r="E16" s="109">
        <v>563</v>
      </c>
      <c r="F16" s="109">
        <v>460.7</v>
      </c>
      <c r="G16" s="109">
        <v>2998.3</v>
      </c>
      <c r="H16" s="109">
        <v>523.4</v>
      </c>
      <c r="I16" s="109">
        <v>657.2</v>
      </c>
      <c r="J16" s="109">
        <v>803</v>
      </c>
      <c r="K16" s="109">
        <v>174.9</v>
      </c>
      <c r="L16" s="109">
        <v>752.7</v>
      </c>
      <c r="M16" s="109">
        <v>443.7</v>
      </c>
      <c r="N16" s="109">
        <f t="shared" si="0"/>
        <v>9126.5</v>
      </c>
    </row>
    <row r="17" spans="1:14" ht="15">
      <c r="A17" s="81" t="s">
        <v>131</v>
      </c>
      <c r="B17" s="109">
        <v>30</v>
      </c>
      <c r="C17" s="109">
        <v>229.3</v>
      </c>
      <c r="D17" s="109">
        <v>55</v>
      </c>
      <c r="E17" s="109">
        <v>125</v>
      </c>
      <c r="F17" s="109">
        <v>0</v>
      </c>
      <c r="G17" s="109">
        <v>79.1</v>
      </c>
      <c r="H17" s="109">
        <v>40</v>
      </c>
      <c r="I17" s="109">
        <v>3500</v>
      </c>
      <c r="J17" s="109">
        <v>80</v>
      </c>
      <c r="K17" s="109">
        <v>30</v>
      </c>
      <c r="L17" s="109">
        <v>50</v>
      </c>
      <c r="M17" s="109">
        <v>20</v>
      </c>
      <c r="N17" s="109">
        <f t="shared" si="0"/>
        <v>4238.4</v>
      </c>
    </row>
    <row r="18" spans="1:14" ht="15">
      <c r="A18" s="81" t="s">
        <v>132</v>
      </c>
      <c r="B18" s="109">
        <v>60</v>
      </c>
      <c r="C18" s="109">
        <v>120</v>
      </c>
      <c r="D18" s="109">
        <v>60</v>
      </c>
      <c r="E18" s="109">
        <v>189.8</v>
      </c>
      <c r="F18" s="109">
        <v>60</v>
      </c>
      <c r="G18" s="109">
        <v>228.3</v>
      </c>
      <c r="H18" s="109">
        <v>123.6</v>
      </c>
      <c r="I18" s="109">
        <v>0</v>
      </c>
      <c r="J18" s="109">
        <v>120</v>
      </c>
      <c r="K18" s="109">
        <v>60</v>
      </c>
      <c r="L18" s="109">
        <v>65</v>
      </c>
      <c r="M18" s="109">
        <v>139.4</v>
      </c>
      <c r="N18" s="109">
        <f t="shared" si="0"/>
        <v>1226.1000000000001</v>
      </c>
    </row>
    <row r="19" spans="1:14" ht="15">
      <c r="A19" s="81" t="s">
        <v>133</v>
      </c>
      <c r="B19" s="109">
        <v>340.6</v>
      </c>
      <c r="C19" s="109">
        <v>279.5</v>
      </c>
      <c r="D19" s="109">
        <v>593.8</v>
      </c>
      <c r="E19" s="109">
        <v>182</v>
      </c>
      <c r="F19" s="109">
        <v>351.9</v>
      </c>
      <c r="G19" s="109">
        <v>1725.9</v>
      </c>
      <c r="H19" s="109">
        <v>284.5</v>
      </c>
      <c r="I19" s="109">
        <v>239.8</v>
      </c>
      <c r="J19" s="109">
        <v>1498.3</v>
      </c>
      <c r="K19" s="109">
        <v>191.5</v>
      </c>
      <c r="L19" s="109">
        <v>503.6</v>
      </c>
      <c r="M19" s="109">
        <v>249.6</v>
      </c>
      <c r="N19" s="109">
        <f t="shared" si="0"/>
        <v>6441.000000000001</v>
      </c>
    </row>
    <row r="20" spans="1:14" ht="15">
      <c r="A20" s="81" t="s">
        <v>134</v>
      </c>
      <c r="B20" s="109">
        <v>954.1</v>
      </c>
      <c r="C20" s="109">
        <v>8789.2</v>
      </c>
      <c r="D20" s="109">
        <v>1406.4</v>
      </c>
      <c r="E20" s="109">
        <v>1061.5</v>
      </c>
      <c r="F20" s="109">
        <v>1497.9</v>
      </c>
      <c r="G20" s="109">
        <v>764.9</v>
      </c>
      <c r="H20" s="109">
        <v>1608.6</v>
      </c>
      <c r="I20" s="109">
        <v>2546</v>
      </c>
      <c r="J20" s="109">
        <v>508.4</v>
      </c>
      <c r="K20" s="109">
        <v>869</v>
      </c>
      <c r="L20" s="109">
        <v>1863.6</v>
      </c>
      <c r="M20" s="109">
        <v>686.3</v>
      </c>
      <c r="N20" s="109">
        <f t="shared" si="0"/>
        <v>22555.899999999998</v>
      </c>
    </row>
    <row r="21" spans="1:14" ht="15">
      <c r="A21" s="81" t="s">
        <v>135</v>
      </c>
      <c r="B21" s="103">
        <v>1125</v>
      </c>
      <c r="C21" s="103">
        <v>1437.4</v>
      </c>
      <c r="D21" s="103">
        <v>448.6</v>
      </c>
      <c r="E21" s="103">
        <v>968.6</v>
      </c>
      <c r="F21" s="103">
        <v>741.3</v>
      </c>
      <c r="G21" s="103">
        <v>3792.6</v>
      </c>
      <c r="H21" s="103">
        <v>780.5</v>
      </c>
      <c r="I21" s="103">
        <v>445.3</v>
      </c>
      <c r="J21" s="103">
        <v>848.8</v>
      </c>
      <c r="K21" s="103">
        <v>537.7</v>
      </c>
      <c r="L21" s="103">
        <v>2647.2</v>
      </c>
      <c r="M21" s="103">
        <v>875</v>
      </c>
      <c r="N21" s="103">
        <f t="shared" si="0"/>
        <v>14648</v>
      </c>
    </row>
    <row r="22" spans="1:14" ht="15">
      <c r="A22" s="82" t="s">
        <v>136</v>
      </c>
      <c r="B22" s="103">
        <f aca="true" t="shared" si="1" ref="B22:M22">SUM(B5:B21)</f>
        <v>22565.7</v>
      </c>
      <c r="C22" s="103">
        <f t="shared" si="1"/>
        <v>111874.19999999998</v>
      </c>
      <c r="D22" s="103">
        <f t="shared" si="1"/>
        <v>29082.100000000002</v>
      </c>
      <c r="E22" s="103">
        <f t="shared" si="1"/>
        <v>20330.099999999995</v>
      </c>
      <c r="F22" s="103">
        <f t="shared" si="1"/>
        <v>20961.100000000002</v>
      </c>
      <c r="G22" s="103">
        <f t="shared" si="1"/>
        <v>64225.20000000001</v>
      </c>
      <c r="H22" s="103">
        <f t="shared" si="1"/>
        <v>23524.5</v>
      </c>
      <c r="I22" s="103">
        <f t="shared" si="1"/>
        <v>30805.6</v>
      </c>
      <c r="J22" s="103">
        <f t="shared" si="1"/>
        <v>29873.300000000003</v>
      </c>
      <c r="K22" s="103">
        <f t="shared" si="1"/>
        <v>12162.5</v>
      </c>
      <c r="L22" s="103">
        <f t="shared" si="1"/>
        <v>34331.6</v>
      </c>
      <c r="M22" s="103">
        <f t="shared" si="1"/>
        <v>19592.5</v>
      </c>
      <c r="N22" s="103">
        <f>SUM(B22:M22)</f>
        <v>419328.39999999997</v>
      </c>
    </row>
    <row r="24" spans="1:16" ht="15">
      <c r="A24" s="83" t="s">
        <v>137</v>
      </c>
      <c r="B24" s="107">
        <f>SUM(B5+B7)</f>
        <v>13484.9</v>
      </c>
      <c r="C24" s="107">
        <f>SUM(C5+C7+C33+C34)</f>
        <v>44925.8</v>
      </c>
      <c r="D24" s="107">
        <f aca="true" t="shared" si="2" ref="D24:L24">SUM(D5+D7)</f>
        <v>17649.2</v>
      </c>
      <c r="E24" s="107">
        <f t="shared" si="2"/>
        <v>10616.099999999999</v>
      </c>
      <c r="F24" s="107">
        <f t="shared" si="2"/>
        <v>12877.9</v>
      </c>
      <c r="G24" s="107">
        <f>SUM(G5+G7+G33+G34)</f>
        <v>33072.1</v>
      </c>
      <c r="H24" s="107">
        <f t="shared" si="2"/>
        <v>12796.5</v>
      </c>
      <c r="I24" s="107">
        <f t="shared" si="2"/>
        <v>13431.099999999999</v>
      </c>
      <c r="J24" s="107">
        <f t="shared" si="2"/>
        <v>16768.2</v>
      </c>
      <c r="K24" s="107">
        <f t="shared" si="2"/>
        <v>7776.200000000001</v>
      </c>
      <c r="L24" s="107">
        <f t="shared" si="2"/>
        <v>18186.9</v>
      </c>
      <c r="M24" s="107">
        <f>SUM(M5+M7+M33+M34)</f>
        <v>12216.4</v>
      </c>
      <c r="N24" s="84"/>
      <c r="O24" s="84"/>
      <c r="P24" s="84"/>
    </row>
    <row r="25" spans="1:16" ht="15">
      <c r="A25" s="86">
        <v>223</v>
      </c>
      <c r="B25" s="107">
        <f>SUM(B10)</f>
        <v>1565.7</v>
      </c>
      <c r="C25" s="107">
        <f>SUM(C10+C35)</f>
        <v>3094.8</v>
      </c>
      <c r="D25" s="107">
        <f aca="true" t="shared" si="3" ref="D25:L25">SUM(D10)</f>
        <v>1586.4</v>
      </c>
      <c r="E25" s="107">
        <f t="shared" si="3"/>
        <v>858.8</v>
      </c>
      <c r="F25" s="107">
        <f t="shared" si="3"/>
        <v>1142.6</v>
      </c>
      <c r="G25" s="107">
        <f>SUM(G10+G35)</f>
        <v>6295.6</v>
      </c>
      <c r="H25" s="107">
        <f t="shared" si="3"/>
        <v>1928.3</v>
      </c>
      <c r="I25" s="107">
        <f t="shared" si="3"/>
        <v>1117.1</v>
      </c>
      <c r="J25" s="107">
        <f t="shared" si="3"/>
        <v>3597.4</v>
      </c>
      <c r="K25" s="107">
        <f t="shared" si="3"/>
        <v>663.7</v>
      </c>
      <c r="L25" s="107">
        <f t="shared" si="3"/>
        <v>1614.6</v>
      </c>
      <c r="M25" s="107">
        <f>SUM(M10+M35)</f>
        <v>1612.1</v>
      </c>
      <c r="N25" s="84"/>
      <c r="O25" s="85"/>
      <c r="P25" s="84"/>
    </row>
    <row r="26" spans="1:16" ht="15">
      <c r="A26" s="86" t="s">
        <v>138</v>
      </c>
      <c r="B26" s="107">
        <f>SUM(B24/B22)</f>
        <v>0.5975839437730714</v>
      </c>
      <c r="C26" s="107">
        <f aca="true" t="shared" si="4" ref="C26:M26">SUM(C24/C22)</f>
        <v>0.40157426824057746</v>
      </c>
      <c r="D26" s="107">
        <f t="shared" si="4"/>
        <v>0.6068750193417944</v>
      </c>
      <c r="E26" s="107">
        <f t="shared" si="4"/>
        <v>0.5221863148730208</v>
      </c>
      <c r="F26" s="107">
        <f t="shared" si="4"/>
        <v>0.6143713831812261</v>
      </c>
      <c r="G26" s="107">
        <f t="shared" si="4"/>
        <v>0.5149396187166407</v>
      </c>
      <c r="H26" s="107">
        <f t="shared" si="4"/>
        <v>0.5439648026525538</v>
      </c>
      <c r="I26" s="107">
        <f t="shared" si="4"/>
        <v>0.435995403433142</v>
      </c>
      <c r="J26" s="107">
        <f t="shared" si="4"/>
        <v>0.5613106017748289</v>
      </c>
      <c r="K26" s="107">
        <f t="shared" si="4"/>
        <v>0.6393586844809866</v>
      </c>
      <c r="L26" s="107">
        <f t="shared" si="4"/>
        <v>0.5297422782509409</v>
      </c>
      <c r="M26" s="107">
        <f t="shared" si="4"/>
        <v>0.6235243077708307</v>
      </c>
      <c r="N26" s="85">
        <f>SUM(B26:M26)</f>
        <v>6.591426626489614</v>
      </c>
      <c r="O26" s="89">
        <f>SUM(N26/12)</f>
        <v>0.5492855522074679</v>
      </c>
      <c r="P26" s="90" t="s">
        <v>138</v>
      </c>
    </row>
    <row r="27" spans="1:16" ht="15">
      <c r="A27" s="86" t="s">
        <v>139</v>
      </c>
      <c r="B27" s="107">
        <f>SUM(B25/B22)</f>
        <v>0.06938406519629349</v>
      </c>
      <c r="C27" s="107">
        <f aca="true" t="shared" si="5" ref="C27:M27">SUM(C25/C22)</f>
        <v>0.027663214574942217</v>
      </c>
      <c r="D27" s="107">
        <f t="shared" si="5"/>
        <v>0.05454901812455084</v>
      </c>
      <c r="E27" s="107">
        <f t="shared" si="5"/>
        <v>0.04224278286875127</v>
      </c>
      <c r="F27" s="107">
        <f t="shared" si="5"/>
        <v>0.05451049801775669</v>
      </c>
      <c r="G27" s="107">
        <f t="shared" si="5"/>
        <v>0.0980238286529275</v>
      </c>
      <c r="H27" s="107">
        <f t="shared" si="5"/>
        <v>0.08196986120852728</v>
      </c>
      <c r="I27" s="107">
        <f t="shared" si="5"/>
        <v>0.03626288726725011</v>
      </c>
      <c r="J27" s="107">
        <f t="shared" si="5"/>
        <v>0.12042191522195404</v>
      </c>
      <c r="K27" s="107">
        <f t="shared" si="5"/>
        <v>0.0545693730729702</v>
      </c>
      <c r="L27" s="107">
        <f t="shared" si="5"/>
        <v>0.04702955877384101</v>
      </c>
      <c r="M27" s="107">
        <f t="shared" si="5"/>
        <v>0.08228148526221768</v>
      </c>
      <c r="N27" s="85">
        <f>SUM(B27:M27)</f>
        <v>0.7689084882419823</v>
      </c>
      <c r="O27" s="89">
        <f>SUM(N27/12)</f>
        <v>0.06407570735349853</v>
      </c>
      <c r="P27" s="90" t="s">
        <v>139</v>
      </c>
    </row>
    <row r="28" spans="1:16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ht="15">
      <c r="A30" t="s">
        <v>176</v>
      </c>
    </row>
    <row r="31" spans="1:14" ht="15">
      <c r="A31" s="108">
        <v>241</v>
      </c>
      <c r="B31" s="108"/>
      <c r="C31" s="108">
        <v>28524.2</v>
      </c>
      <c r="D31" s="108"/>
      <c r="E31" s="108"/>
      <c r="F31" s="108"/>
      <c r="G31" s="108">
        <v>20650.9</v>
      </c>
      <c r="H31" s="108"/>
      <c r="I31" s="108"/>
      <c r="J31" s="108"/>
      <c r="K31" s="108"/>
      <c r="L31" s="108"/>
      <c r="M31" s="108">
        <v>2506.4</v>
      </c>
      <c r="N31" s="108"/>
    </row>
    <row r="32" ht="15">
      <c r="A32" t="s">
        <v>177</v>
      </c>
    </row>
    <row r="33" spans="1:14" ht="15">
      <c r="A33" s="108">
        <v>211</v>
      </c>
      <c r="B33" s="108"/>
      <c r="C33" s="108">
        <v>13650.7</v>
      </c>
      <c r="D33" s="108"/>
      <c r="E33" s="108"/>
      <c r="F33" s="108"/>
      <c r="G33" s="108">
        <v>10097.6</v>
      </c>
      <c r="H33" s="108"/>
      <c r="I33" s="108"/>
      <c r="J33" s="108"/>
      <c r="K33" s="108"/>
      <c r="L33" s="108"/>
      <c r="M33" s="108">
        <v>1523.3</v>
      </c>
      <c r="N33" s="108"/>
    </row>
    <row r="34" spans="1:14" ht="15">
      <c r="A34" s="108">
        <v>213</v>
      </c>
      <c r="B34" s="108"/>
      <c r="C34" s="108">
        <v>3853.3</v>
      </c>
      <c r="D34" s="108"/>
      <c r="E34" s="108"/>
      <c r="F34" s="108"/>
      <c r="G34" s="108">
        <v>3114.2</v>
      </c>
      <c r="H34" s="108"/>
      <c r="I34" s="108"/>
      <c r="J34" s="108"/>
      <c r="K34" s="108"/>
      <c r="L34" s="108"/>
      <c r="M34" s="108">
        <v>664.9</v>
      </c>
      <c r="N34" s="108"/>
    </row>
    <row r="35" spans="1:14" ht="15">
      <c r="A35" s="108">
        <v>223</v>
      </c>
      <c r="B35" s="108"/>
      <c r="C35" s="108">
        <v>1233.2</v>
      </c>
      <c r="D35" s="108"/>
      <c r="E35" s="108"/>
      <c r="F35" s="108"/>
      <c r="G35" s="108">
        <v>3930</v>
      </c>
      <c r="H35" s="108"/>
      <c r="I35" s="108"/>
      <c r="J35" s="108"/>
      <c r="K35" s="108"/>
      <c r="L35" s="108"/>
      <c r="M35" s="108">
        <v>1.1</v>
      </c>
      <c r="N35" s="108"/>
    </row>
  </sheetData>
  <sheetProtection password="CF72" sheet="1"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16.421875" style="0" bestFit="1" customWidth="1"/>
    <col min="4" max="4" width="10.7109375" style="0" bestFit="1" customWidth="1"/>
    <col min="5" max="5" width="17.7109375" style="0" bestFit="1" customWidth="1"/>
    <col min="6" max="6" width="9.00390625" style="0" bestFit="1" customWidth="1"/>
    <col min="7" max="7" width="10.42187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1" width="8.8515625" style="0" customWidth="1"/>
    <col min="12" max="12" width="9.00390625" style="0" bestFit="1" customWidth="1"/>
    <col min="13" max="13" width="9.28125" style="0" bestFit="1" customWidth="1"/>
    <col min="14" max="14" width="10.8515625" style="0" bestFit="1" customWidth="1"/>
  </cols>
  <sheetData>
    <row r="1" spans="1:14" ht="18.75">
      <c r="A1" s="171" t="s">
        <v>174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">
      <c r="A2" s="77" t="s">
        <v>140</v>
      </c>
      <c r="B2" s="78" t="s">
        <v>116</v>
      </c>
      <c r="C2" s="78" t="s">
        <v>1</v>
      </c>
      <c r="D2" s="78" t="s">
        <v>10</v>
      </c>
      <c r="E2" s="78" t="s">
        <v>8</v>
      </c>
      <c r="F2" s="78" t="s">
        <v>11</v>
      </c>
      <c r="G2" s="78" t="s">
        <v>15</v>
      </c>
      <c r="H2" s="78" t="s">
        <v>117</v>
      </c>
      <c r="I2" s="78" t="s">
        <v>2</v>
      </c>
      <c r="J2" s="78" t="s">
        <v>6</v>
      </c>
      <c r="K2" s="78" t="s">
        <v>12</v>
      </c>
      <c r="L2" s="78" t="s">
        <v>3</v>
      </c>
      <c r="M2" s="78" t="s">
        <v>4</v>
      </c>
      <c r="N2" s="78" t="s">
        <v>118</v>
      </c>
    </row>
    <row r="3" spans="1:14" ht="15.75">
      <c r="A3" s="81" t="s">
        <v>141</v>
      </c>
      <c r="B3" s="110">
        <v>10268.9</v>
      </c>
      <c r="C3" s="110">
        <v>30150.5</v>
      </c>
      <c r="D3" s="110">
        <v>12478.7</v>
      </c>
      <c r="E3" s="110">
        <v>8791.1</v>
      </c>
      <c r="F3" s="110">
        <v>9303.5</v>
      </c>
      <c r="G3" s="110">
        <v>21876.9</v>
      </c>
      <c r="H3" s="110">
        <v>10008.7</v>
      </c>
      <c r="I3" s="110">
        <v>10589.7</v>
      </c>
      <c r="J3" s="110">
        <v>11670.2</v>
      </c>
      <c r="K3" s="110">
        <v>5901.3</v>
      </c>
      <c r="L3" s="110">
        <v>14271.6</v>
      </c>
      <c r="M3" s="110">
        <v>10927.1</v>
      </c>
      <c r="N3" s="110">
        <v>156238.2</v>
      </c>
    </row>
    <row r="4" spans="1:14" ht="15.75">
      <c r="A4" s="81" t="s">
        <v>178</v>
      </c>
      <c r="B4" s="110">
        <v>94.6</v>
      </c>
      <c r="C4" s="110">
        <v>747.2</v>
      </c>
      <c r="D4" s="110">
        <v>157.7</v>
      </c>
      <c r="E4" s="110">
        <v>152.9</v>
      </c>
      <c r="F4" s="110">
        <v>145.8</v>
      </c>
      <c r="G4" s="110">
        <v>381.7</v>
      </c>
      <c r="H4" s="110">
        <v>138.7</v>
      </c>
      <c r="I4" s="110">
        <v>145.8</v>
      </c>
      <c r="J4" s="110">
        <v>125.7</v>
      </c>
      <c r="K4" s="110">
        <v>148.2</v>
      </c>
      <c r="L4" s="110">
        <v>117.2</v>
      </c>
      <c r="M4" s="110">
        <v>96.8</v>
      </c>
      <c r="N4" s="110">
        <v>2452.3</v>
      </c>
    </row>
    <row r="5" spans="1:14" ht="15.75">
      <c r="A5" s="81" t="s">
        <v>142</v>
      </c>
      <c r="B5" s="110">
        <v>456</v>
      </c>
      <c r="C5" s="110">
        <v>1967.5</v>
      </c>
      <c r="D5" s="110">
        <v>389.2</v>
      </c>
      <c r="E5" s="110">
        <v>252.2</v>
      </c>
      <c r="F5" s="110">
        <v>336.4</v>
      </c>
      <c r="G5" s="110">
        <v>1002.5</v>
      </c>
      <c r="H5" s="110">
        <v>786.5</v>
      </c>
      <c r="I5" s="110">
        <v>378</v>
      </c>
      <c r="J5" s="110">
        <v>371.9</v>
      </c>
      <c r="K5" s="110">
        <v>41.6</v>
      </c>
      <c r="L5" s="110">
        <v>519.2</v>
      </c>
      <c r="M5" s="110">
        <v>329.6</v>
      </c>
      <c r="N5" s="110">
        <v>6830.6</v>
      </c>
    </row>
    <row r="6" spans="1:14" ht="15.75">
      <c r="A6" s="81" t="s">
        <v>143</v>
      </c>
      <c r="B6" s="110">
        <v>2081.4</v>
      </c>
      <c r="C6" s="110">
        <v>12820.9</v>
      </c>
      <c r="D6" s="110">
        <v>3158.9</v>
      </c>
      <c r="E6" s="110">
        <v>2849.9</v>
      </c>
      <c r="F6" s="110">
        <v>3099.9</v>
      </c>
      <c r="G6" s="110">
        <v>8811.7</v>
      </c>
      <c r="H6" s="110">
        <v>2073.7</v>
      </c>
      <c r="I6" s="110">
        <v>3297.9</v>
      </c>
      <c r="J6" s="110">
        <v>2592</v>
      </c>
      <c r="K6" s="110">
        <v>1098.9</v>
      </c>
      <c r="L6" s="110">
        <v>3142.1</v>
      </c>
      <c r="M6" s="110">
        <v>2446</v>
      </c>
      <c r="N6" s="110">
        <v>47473.3</v>
      </c>
    </row>
    <row r="7" spans="1:14" ht="15.75">
      <c r="A7" s="81" t="s">
        <v>144</v>
      </c>
      <c r="B7" s="110">
        <v>2530.6</v>
      </c>
      <c r="C7" s="110">
        <v>41759.5</v>
      </c>
      <c r="D7" s="110">
        <v>3203.1</v>
      </c>
      <c r="E7" s="110">
        <v>3448.8</v>
      </c>
      <c r="F7" s="110">
        <v>2164.2</v>
      </c>
      <c r="G7" s="110">
        <v>9231.9</v>
      </c>
      <c r="H7" s="110">
        <v>2876.3</v>
      </c>
      <c r="I7" s="110">
        <v>7078.8</v>
      </c>
      <c r="J7" s="110">
        <v>2564.2</v>
      </c>
      <c r="K7" s="110">
        <v>766.8</v>
      </c>
      <c r="L7" s="110">
        <v>7127.8</v>
      </c>
      <c r="M7" s="110">
        <v>1444.4</v>
      </c>
      <c r="N7" s="110">
        <v>84196.4</v>
      </c>
    </row>
    <row r="8" spans="1:14" ht="15.75">
      <c r="A8" s="81" t="s">
        <v>145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</row>
    <row r="9" spans="1:14" ht="15.75">
      <c r="A9" s="81" t="s">
        <v>146</v>
      </c>
      <c r="B9" s="110">
        <v>610.8</v>
      </c>
      <c r="C9" s="110">
        <v>923.7</v>
      </c>
      <c r="D9" s="110">
        <v>605.4</v>
      </c>
      <c r="E9" s="110">
        <v>261.7</v>
      </c>
      <c r="F9" s="110">
        <v>486.8</v>
      </c>
      <c r="G9" s="110">
        <v>772.7</v>
      </c>
      <c r="H9" s="110">
        <v>430.3</v>
      </c>
      <c r="I9" s="110">
        <v>245.4</v>
      </c>
      <c r="J9" s="110">
        <v>612.3</v>
      </c>
      <c r="K9" s="110">
        <v>144.1</v>
      </c>
      <c r="L9" s="110">
        <v>595.4</v>
      </c>
      <c r="M9" s="110">
        <v>227.9</v>
      </c>
      <c r="N9" s="110">
        <v>5916.5</v>
      </c>
    </row>
    <row r="10" spans="1:14" ht="15.75">
      <c r="A10" s="81" t="s">
        <v>147</v>
      </c>
      <c r="B10" s="110">
        <v>5644.6</v>
      </c>
      <c r="C10" s="110">
        <v>22378</v>
      </c>
      <c r="D10" s="110">
        <v>8404.4</v>
      </c>
      <c r="E10" s="110">
        <v>4021.4</v>
      </c>
      <c r="F10" s="110">
        <v>4882.7</v>
      </c>
      <c r="G10" s="110">
        <v>19795.7</v>
      </c>
      <c r="H10" s="110">
        <v>6540</v>
      </c>
      <c r="I10" s="110">
        <v>5108.3</v>
      </c>
      <c r="J10" s="110">
        <v>11536.9</v>
      </c>
      <c r="K10" s="110">
        <v>3564.4</v>
      </c>
      <c r="L10" s="110">
        <v>8309.6</v>
      </c>
      <c r="M10" s="110">
        <v>3756.5</v>
      </c>
      <c r="N10" s="110">
        <v>103942.5</v>
      </c>
    </row>
    <row r="11" spans="1:14" ht="15.75">
      <c r="A11" s="81" t="s">
        <v>148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</row>
    <row r="12" spans="1:14" ht="15.75">
      <c r="A12" s="81" t="s">
        <v>149</v>
      </c>
      <c r="B12" s="110">
        <v>90</v>
      </c>
      <c r="C12" s="110">
        <v>349.4</v>
      </c>
      <c r="D12" s="110">
        <v>115</v>
      </c>
      <c r="E12" s="110">
        <v>314.8</v>
      </c>
      <c r="F12" s="110">
        <v>60</v>
      </c>
      <c r="G12" s="110">
        <v>307.4</v>
      </c>
      <c r="H12" s="110">
        <v>163.6</v>
      </c>
      <c r="I12" s="110">
        <v>3500</v>
      </c>
      <c r="J12" s="110">
        <v>200</v>
      </c>
      <c r="K12" s="110">
        <v>90</v>
      </c>
      <c r="L12" s="110">
        <v>115</v>
      </c>
      <c r="M12" s="110">
        <v>159.4</v>
      </c>
      <c r="N12" s="110">
        <v>5464.6</v>
      </c>
    </row>
    <row r="13" spans="1:14" ht="15.75">
      <c r="A13" s="81" t="s">
        <v>150</v>
      </c>
      <c r="B13" s="110">
        <v>788.8</v>
      </c>
      <c r="C13" s="110">
        <v>777.5</v>
      </c>
      <c r="D13" s="110">
        <v>569.7</v>
      </c>
      <c r="E13" s="110">
        <v>237.3</v>
      </c>
      <c r="F13" s="110">
        <v>481.8</v>
      </c>
      <c r="G13" s="110">
        <v>2044.7</v>
      </c>
      <c r="H13" s="110">
        <v>506.7</v>
      </c>
      <c r="I13" s="110">
        <v>461.7</v>
      </c>
      <c r="J13" s="110">
        <v>200.1</v>
      </c>
      <c r="K13" s="110">
        <v>407.2</v>
      </c>
      <c r="L13" s="110">
        <v>133.7</v>
      </c>
      <c r="M13" s="110">
        <v>204.8</v>
      </c>
      <c r="N13" s="110">
        <v>6814</v>
      </c>
    </row>
    <row r="14" spans="1:14" ht="15.75">
      <c r="A14" s="82" t="s">
        <v>136</v>
      </c>
      <c r="B14" s="110">
        <f aca="true" t="shared" si="0" ref="B14:M14">SUM(B3:B13)</f>
        <v>22565.7</v>
      </c>
      <c r="C14" s="110">
        <f t="shared" si="0"/>
        <v>111874.2</v>
      </c>
      <c r="D14" s="110">
        <f t="shared" si="0"/>
        <v>29082.100000000002</v>
      </c>
      <c r="E14" s="110">
        <f t="shared" si="0"/>
        <v>20330.100000000002</v>
      </c>
      <c r="F14" s="110">
        <f t="shared" si="0"/>
        <v>20961.1</v>
      </c>
      <c r="G14" s="110">
        <f t="shared" si="0"/>
        <v>64225.200000000004</v>
      </c>
      <c r="H14" s="110">
        <f t="shared" si="0"/>
        <v>23524.5</v>
      </c>
      <c r="I14" s="110">
        <f t="shared" si="0"/>
        <v>30805.600000000002</v>
      </c>
      <c r="J14" s="110">
        <f t="shared" si="0"/>
        <v>29873.299999999996</v>
      </c>
      <c r="K14" s="110">
        <f t="shared" si="0"/>
        <v>12162.500000000002</v>
      </c>
      <c r="L14" s="110">
        <f t="shared" si="0"/>
        <v>34331.6</v>
      </c>
      <c r="M14" s="110">
        <f t="shared" si="0"/>
        <v>19592.5</v>
      </c>
      <c r="N14" s="110">
        <f>SUM(B14:M14)</f>
        <v>419328.39999999997</v>
      </c>
    </row>
    <row r="15" spans="1:14" ht="15.75">
      <c r="A15" s="91"/>
      <c r="B15" s="92"/>
      <c r="C15" s="93"/>
      <c r="D15" s="93"/>
      <c r="E15" s="92"/>
      <c r="F15" s="92"/>
      <c r="G15" s="92"/>
      <c r="H15" s="92"/>
      <c r="I15" s="94"/>
      <c r="J15" s="94"/>
      <c r="K15" s="92"/>
      <c r="L15" s="92"/>
      <c r="M15" s="92"/>
      <c r="N15" s="94"/>
    </row>
    <row r="16" spans="1:14" ht="18.75">
      <c r="A16" s="172" t="s">
        <v>154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6" ht="15">
      <c r="A17" s="88" t="s">
        <v>151</v>
      </c>
      <c r="B17" s="105">
        <f>SUM(B3+B10)</f>
        <v>15913.5</v>
      </c>
      <c r="C17" s="105">
        <f aca="true" t="shared" si="1" ref="C17:N17">SUM(C3+C10)</f>
        <v>52528.5</v>
      </c>
      <c r="D17" s="105">
        <f t="shared" si="1"/>
        <v>20883.1</v>
      </c>
      <c r="E17" s="105">
        <f t="shared" si="1"/>
        <v>12812.5</v>
      </c>
      <c r="F17" s="105">
        <f t="shared" si="1"/>
        <v>14186.2</v>
      </c>
      <c r="G17" s="105">
        <f t="shared" si="1"/>
        <v>41672.600000000006</v>
      </c>
      <c r="H17" s="105">
        <f t="shared" si="1"/>
        <v>16548.7</v>
      </c>
      <c r="I17" s="105">
        <f t="shared" si="1"/>
        <v>15698</v>
      </c>
      <c r="J17" s="105">
        <f t="shared" si="1"/>
        <v>23207.1</v>
      </c>
      <c r="K17" s="105">
        <f t="shared" si="1"/>
        <v>9465.7</v>
      </c>
      <c r="L17" s="105">
        <f t="shared" si="1"/>
        <v>22581.2</v>
      </c>
      <c r="M17" s="105">
        <f t="shared" si="1"/>
        <v>14683.6</v>
      </c>
      <c r="N17" s="105">
        <f t="shared" si="1"/>
        <v>260180.7</v>
      </c>
      <c r="O17" s="89">
        <f>SUM(N17/N14)</f>
        <v>0.6204700182482275</v>
      </c>
      <c r="P17" s="90" t="s">
        <v>152</v>
      </c>
    </row>
    <row r="20" spans="1:14" ht="18.75">
      <c r="A20" s="172" t="s">
        <v>155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ht="30">
      <c r="A21" s="102" t="s">
        <v>163</v>
      </c>
      <c r="B21" s="87" t="s">
        <v>116</v>
      </c>
      <c r="C21" s="87" t="s">
        <v>1</v>
      </c>
      <c r="D21" s="87" t="s">
        <v>10</v>
      </c>
      <c r="E21" s="87" t="s">
        <v>8</v>
      </c>
      <c r="F21" s="87" t="s">
        <v>11</v>
      </c>
      <c r="G21" s="87" t="s">
        <v>15</v>
      </c>
      <c r="H21" s="87" t="s">
        <v>117</v>
      </c>
      <c r="I21" s="87" t="s">
        <v>2</v>
      </c>
      <c r="J21" s="87" t="s">
        <v>6</v>
      </c>
      <c r="K21" s="87" t="s">
        <v>12</v>
      </c>
      <c r="L21" s="87" t="s">
        <v>3</v>
      </c>
      <c r="M21" s="87" t="s">
        <v>4</v>
      </c>
      <c r="N21" s="87" t="s">
        <v>118</v>
      </c>
    </row>
    <row r="22" spans="1:14" ht="15">
      <c r="A22" s="100" t="s">
        <v>161</v>
      </c>
      <c r="B22" s="103">
        <v>278.7</v>
      </c>
      <c r="C22" s="103">
        <v>1772.6</v>
      </c>
      <c r="D22" s="103">
        <v>1189.5</v>
      </c>
      <c r="E22" s="103">
        <v>1578.4</v>
      </c>
      <c r="F22" s="103">
        <v>299.9</v>
      </c>
      <c r="G22" s="103">
        <v>1701.5</v>
      </c>
      <c r="H22" s="103">
        <v>1120.8</v>
      </c>
      <c r="I22" s="103">
        <v>3105.1</v>
      </c>
      <c r="J22" s="103">
        <v>392.9</v>
      </c>
      <c r="K22" s="103">
        <v>0</v>
      </c>
      <c r="L22" s="103">
        <v>0</v>
      </c>
      <c r="M22" s="103">
        <v>0</v>
      </c>
      <c r="N22" s="103">
        <f>SUM(B22:M22)</f>
        <v>11439.4</v>
      </c>
    </row>
    <row r="23" spans="1:14" ht="15">
      <c r="A23" s="100" t="s">
        <v>162</v>
      </c>
      <c r="B23" s="103">
        <v>98.5</v>
      </c>
      <c r="C23" s="103">
        <v>505.2</v>
      </c>
      <c r="D23" s="103">
        <v>27.6</v>
      </c>
      <c r="E23" s="103">
        <v>42.1</v>
      </c>
      <c r="F23" s="103">
        <v>0</v>
      </c>
      <c r="G23" s="103">
        <v>223.6</v>
      </c>
      <c r="H23" s="103">
        <v>48.1</v>
      </c>
      <c r="I23" s="103">
        <v>6.8</v>
      </c>
      <c r="J23" s="103">
        <v>10.3</v>
      </c>
      <c r="K23" s="103">
        <v>10</v>
      </c>
      <c r="L23" s="103">
        <v>199.8</v>
      </c>
      <c r="M23" s="103">
        <v>0</v>
      </c>
      <c r="N23" s="103">
        <f>SUM(B23:M23)</f>
        <v>1172</v>
      </c>
    </row>
    <row r="24" spans="1:16" ht="15">
      <c r="A24" s="82" t="s">
        <v>136</v>
      </c>
      <c r="B24" s="104">
        <f>SUM(B22:B23)</f>
        <v>377.2</v>
      </c>
      <c r="C24" s="104">
        <f aca="true" t="shared" si="2" ref="C24:M24">SUM(C22:C23)</f>
        <v>2277.7999999999997</v>
      </c>
      <c r="D24" s="104">
        <f t="shared" si="2"/>
        <v>1217.1</v>
      </c>
      <c r="E24" s="104">
        <f t="shared" si="2"/>
        <v>1620.5</v>
      </c>
      <c r="F24" s="104">
        <f t="shared" si="2"/>
        <v>299.9</v>
      </c>
      <c r="G24" s="104">
        <f t="shared" si="2"/>
        <v>1925.1</v>
      </c>
      <c r="H24" s="104">
        <f t="shared" si="2"/>
        <v>1168.8999999999999</v>
      </c>
      <c r="I24" s="104">
        <f t="shared" si="2"/>
        <v>3111.9</v>
      </c>
      <c r="J24" s="104">
        <f t="shared" si="2"/>
        <v>403.2</v>
      </c>
      <c r="K24" s="104">
        <f t="shared" si="2"/>
        <v>10</v>
      </c>
      <c r="L24" s="104">
        <f t="shared" si="2"/>
        <v>199.8</v>
      </c>
      <c r="M24" s="104">
        <f t="shared" si="2"/>
        <v>0</v>
      </c>
      <c r="N24" s="104">
        <f>SUM(B24:M24)</f>
        <v>12611.399999999998</v>
      </c>
      <c r="O24" s="101">
        <f>SUM(N24/N14)</f>
        <v>0.030075234589405343</v>
      </c>
      <c r="P24" s="90" t="s">
        <v>153</v>
      </c>
    </row>
    <row r="27" spans="1:14" ht="18.75">
      <c r="A27" s="172" t="s">
        <v>156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14" ht="15">
      <c r="A28" s="87"/>
      <c r="B28" s="87" t="s">
        <v>116</v>
      </c>
      <c r="C28" s="87" t="s">
        <v>1</v>
      </c>
      <c r="D28" s="87" t="s">
        <v>10</v>
      </c>
      <c r="E28" s="87" t="s">
        <v>8</v>
      </c>
      <c r="F28" s="87" t="s">
        <v>11</v>
      </c>
      <c r="G28" s="87" t="s">
        <v>15</v>
      </c>
      <c r="H28" s="87" t="s">
        <v>117</v>
      </c>
      <c r="I28" s="87" t="s">
        <v>2</v>
      </c>
      <c r="J28" s="87" t="s">
        <v>6</v>
      </c>
      <c r="K28" s="87" t="s">
        <v>12</v>
      </c>
      <c r="L28" s="87" t="s">
        <v>3</v>
      </c>
      <c r="M28" s="87" t="s">
        <v>4</v>
      </c>
      <c r="N28" s="87" t="s">
        <v>118</v>
      </c>
    </row>
    <row r="29" spans="1:16" ht="15">
      <c r="A29" s="96"/>
      <c r="B29" s="106">
        <f aca="true" t="shared" si="3" ref="B29:M29">SUM(B14-B17-B24)</f>
        <v>6275.000000000001</v>
      </c>
      <c r="C29" s="106">
        <f t="shared" si="3"/>
        <v>57067.899999999994</v>
      </c>
      <c r="D29" s="106">
        <f t="shared" si="3"/>
        <v>6981.900000000003</v>
      </c>
      <c r="E29" s="106">
        <f t="shared" si="3"/>
        <v>5897.100000000002</v>
      </c>
      <c r="F29" s="106">
        <f t="shared" si="3"/>
        <v>6474.999999999998</v>
      </c>
      <c r="G29" s="106">
        <f t="shared" si="3"/>
        <v>20627.5</v>
      </c>
      <c r="H29" s="106">
        <f t="shared" si="3"/>
        <v>5806.9</v>
      </c>
      <c r="I29" s="106">
        <f t="shared" si="3"/>
        <v>11995.700000000003</v>
      </c>
      <c r="J29" s="106">
        <f t="shared" si="3"/>
        <v>6262.999999999997</v>
      </c>
      <c r="K29" s="106">
        <f t="shared" si="3"/>
        <v>2686.800000000001</v>
      </c>
      <c r="L29" s="106">
        <f t="shared" si="3"/>
        <v>11550.599999999999</v>
      </c>
      <c r="M29" s="106">
        <f t="shared" si="3"/>
        <v>4908.9</v>
      </c>
      <c r="N29" s="106">
        <f>SUM(B29:M29)</f>
        <v>146536.3</v>
      </c>
      <c r="O29" s="97">
        <f>SUM(N29/N14)</f>
        <v>0.34945474716236724</v>
      </c>
      <c r="P29" s="90" t="s">
        <v>157</v>
      </c>
    </row>
    <row r="31" ht="15">
      <c r="N31" s="111"/>
    </row>
    <row r="33" ht="15">
      <c r="N33" s="95"/>
    </row>
  </sheetData>
  <sheetProtection password="CF72" sheet="1"/>
  <mergeCells count="4">
    <mergeCell ref="A1:N1"/>
    <mergeCell ref="A20:N20"/>
    <mergeCell ref="A27:N27"/>
    <mergeCell ref="A16:N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2015-04-06T10:29:56Z</dcterms:modified>
  <cp:category/>
  <cp:version/>
  <cp:contentType/>
  <cp:contentStatus/>
</cp:coreProperties>
</file>